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9200" windowHeight="5205" firstSheet="1" activeTab="1"/>
  </bookViews>
  <sheets>
    <sheet name="Instructions" sheetId="14" r:id="rId1"/>
    <sheet name="Annual Distribution Costs" sheetId="11" r:id="rId2"/>
    <sheet name="Trip Based Costs" sheetId="2" r:id="rId3"/>
    <sheet name="DefineNames" sheetId="12" state="hidden" r:id="rId4"/>
  </sheets>
  <definedNames>
    <definedName name="_xlnm.Print_Area" localSheetId="0">Instructions!$A$1:$F$81</definedName>
    <definedName name="_xlnm.Print_Area" localSheetId="2">'Trip Based Costs'!$A$4:$Q$62</definedName>
    <definedName name="TruckCostInputData" comment="User Defined Data (&quot;User Data&quot;) or Data based on Averages (&quot;Average)">DefineNames!$A$3:$A$5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6" i="2" l="1"/>
  <c r="N46" i="2"/>
  <c r="O46" i="2"/>
  <c r="P46" i="2"/>
  <c r="L46" i="2"/>
  <c r="P25" i="2"/>
  <c r="O25" i="2"/>
  <c r="N25" i="2"/>
  <c r="M25" i="2"/>
  <c r="L25" i="2"/>
  <c r="I64" i="11"/>
  <c r="I62" i="11"/>
  <c r="I61" i="11"/>
  <c r="K58" i="11"/>
  <c r="I58" i="11"/>
  <c r="I54" i="11"/>
  <c r="E57" i="11"/>
  <c r="E56" i="11"/>
  <c r="E55" i="11"/>
  <c r="E54" i="11"/>
  <c r="E30" i="11"/>
  <c r="E51" i="11"/>
  <c r="B42" i="14"/>
  <c r="B43" i="14"/>
  <c r="B44" i="14"/>
  <c r="B45" i="14"/>
  <c r="B46" i="14"/>
  <c r="B47" i="14"/>
  <c r="B48" i="14"/>
  <c r="B49" i="14"/>
  <c r="B50" i="14"/>
  <c r="M6" i="11"/>
  <c r="M7" i="11"/>
  <c r="N25" i="11"/>
  <c r="K6" i="11"/>
  <c r="K7" i="11"/>
  <c r="I52" i="11"/>
  <c r="I53" i="11"/>
  <c r="E52" i="11"/>
  <c r="E53" i="11"/>
  <c r="D7" i="11"/>
  <c r="C4" i="2"/>
  <c r="F47" i="2"/>
  <c r="D26" i="2"/>
  <c r="E26" i="2"/>
  <c r="G47" i="2"/>
  <c r="H47" i="2"/>
  <c r="F26" i="2"/>
  <c r="G26" i="2"/>
  <c r="H26" i="2"/>
  <c r="D47" i="2"/>
  <c r="L47" i="2"/>
  <c r="E10" i="2"/>
  <c r="E47" i="2"/>
  <c r="F10" i="2"/>
  <c r="F56" i="11"/>
  <c r="L26" i="2"/>
  <c r="H56" i="11"/>
  <c r="F67" i="11"/>
  <c r="L64" i="11"/>
  <c r="K63" i="11"/>
  <c r="K62" i="11"/>
  <c r="L61" i="11"/>
  <c r="K60" i="11"/>
  <c r="I60" i="11"/>
  <c r="F57" i="11"/>
  <c r="H57" i="11"/>
  <c r="H55" i="11"/>
  <c r="L54" i="11"/>
  <c r="H54" i="11"/>
  <c r="C50" i="11"/>
  <c r="H44" i="11"/>
  <c r="H42" i="11"/>
  <c r="I30" i="11"/>
  <c r="H30" i="11"/>
  <c r="F30" i="11"/>
  <c r="H51" i="11"/>
  <c r="I51" i="11"/>
  <c r="L51" i="11"/>
  <c r="I63" i="11"/>
  <c r="L63" i="11"/>
  <c r="I59" i="11"/>
  <c r="I50" i="11"/>
  <c r="E50" i="11"/>
  <c r="E69" i="11"/>
  <c r="F68" i="11"/>
  <c r="F69" i="11"/>
  <c r="K59" i="11"/>
  <c r="L60" i="11"/>
  <c r="L62" i="11"/>
  <c r="L58" i="11"/>
  <c r="E12" i="11"/>
  <c r="E70" i="11"/>
  <c r="E13" i="11"/>
  <c r="L50" i="11"/>
  <c r="L59" i="11"/>
  <c r="H50" i="11"/>
  <c r="E27" i="2"/>
  <c r="E68" i="11"/>
  <c r="E67" i="11"/>
  <c r="E6" i="11"/>
  <c r="E7" i="11"/>
  <c r="D27" i="2"/>
  <c r="D28" i="2"/>
  <c r="F27" i="2"/>
  <c r="H27" i="2"/>
  <c r="G27" i="2"/>
  <c r="E11" i="2"/>
  <c r="E12" i="2"/>
  <c r="E16" i="2"/>
  <c r="H72" i="11"/>
  <c r="I72" i="11"/>
  <c r="I71" i="11"/>
  <c r="H71" i="11"/>
  <c r="H12" i="11"/>
  <c r="H73" i="11"/>
  <c r="H13" i="11"/>
  <c r="G48" i="2"/>
  <c r="F48" i="2"/>
  <c r="E48" i="2"/>
  <c r="E49" i="2"/>
  <c r="E54" i="2"/>
  <c r="H48" i="2"/>
  <c r="D48" i="2"/>
  <c r="F11" i="2"/>
  <c r="F12" i="2"/>
  <c r="F18" i="2"/>
  <c r="E18" i="2"/>
  <c r="H6" i="11"/>
  <c r="H7" i="11"/>
  <c r="F16" i="2"/>
  <c r="E50" i="2"/>
  <c r="E53" i="2"/>
  <c r="E51" i="2"/>
  <c r="E52" i="2"/>
  <c r="E57" i="2"/>
  <c r="E55" i="2"/>
  <c r="E56" i="2"/>
  <c r="O26" i="2"/>
  <c r="O47" i="2"/>
  <c r="P47" i="2"/>
  <c r="M47" i="2"/>
  <c r="N47" i="2"/>
  <c r="P26" i="2"/>
  <c r="N26" i="2"/>
  <c r="M26" i="2"/>
  <c r="D49" i="2"/>
  <c r="G28" i="2"/>
  <c r="M27" i="2"/>
  <c r="N27" i="2"/>
  <c r="H28" i="2"/>
  <c r="N48" i="2"/>
  <c r="F49" i="2"/>
  <c r="P48" i="2"/>
  <c r="H49" i="2"/>
  <c r="L48" i="2"/>
  <c r="O48" i="2"/>
  <c r="G49" i="2"/>
  <c r="M48" i="2"/>
  <c r="L27" i="2"/>
  <c r="E28" i="2"/>
  <c r="E36" i="2"/>
  <c r="O27" i="2"/>
  <c r="F28" i="2"/>
  <c r="F35" i="2"/>
  <c r="P27" i="2"/>
  <c r="M49" i="2"/>
  <c r="O49" i="2"/>
  <c r="G53" i="2"/>
  <c r="G55" i="2"/>
  <c r="G57" i="2"/>
  <c r="G51" i="2"/>
  <c r="G52" i="2"/>
  <c r="G50" i="2"/>
  <c r="G56" i="2"/>
  <c r="G54" i="2"/>
  <c r="P49" i="2"/>
  <c r="H53" i="2"/>
  <c r="H54" i="2"/>
  <c r="H52" i="2"/>
  <c r="H51" i="2"/>
  <c r="H55" i="2"/>
  <c r="H57" i="2"/>
  <c r="H56" i="2"/>
  <c r="H50" i="2"/>
  <c r="L49" i="2"/>
  <c r="D57" i="2"/>
  <c r="D51" i="2"/>
  <c r="D50" i="2"/>
  <c r="D52" i="2"/>
  <c r="D55" i="2"/>
  <c r="D56" i="2"/>
  <c r="D54" i="2"/>
  <c r="D53" i="2"/>
  <c r="F55" i="2"/>
  <c r="N49" i="2"/>
  <c r="F50" i="2"/>
  <c r="F53" i="2"/>
  <c r="F51" i="2"/>
  <c r="F57" i="2"/>
  <c r="F54" i="2"/>
  <c r="F56" i="2"/>
  <c r="F52" i="2"/>
  <c r="O28" i="2"/>
  <c r="G32" i="2"/>
  <c r="G33" i="2"/>
  <c r="G35" i="2"/>
  <c r="G31" i="2"/>
  <c r="G34" i="2"/>
  <c r="G36" i="2"/>
  <c r="G29" i="2"/>
  <c r="G30" i="2"/>
  <c r="L28" i="2"/>
  <c r="D36" i="2"/>
  <c r="D32" i="2"/>
  <c r="D30" i="2"/>
  <c r="D34" i="2"/>
  <c r="D29" i="2"/>
  <c r="D31" i="2"/>
  <c r="D35" i="2"/>
  <c r="D33" i="2"/>
  <c r="P28" i="2"/>
  <c r="H29" i="2"/>
  <c r="H35" i="2"/>
  <c r="H33" i="2"/>
  <c r="H31" i="2"/>
  <c r="H32" i="2"/>
  <c r="H34" i="2"/>
  <c r="H36" i="2"/>
  <c r="H30" i="2"/>
  <c r="E35" i="2"/>
  <c r="E31" i="2"/>
  <c r="M28" i="2"/>
  <c r="M38" i="2"/>
  <c r="E32" i="2"/>
  <c r="E29" i="2"/>
  <c r="E33" i="2"/>
  <c r="E30" i="2"/>
  <c r="E34" i="2"/>
  <c r="F29" i="2"/>
  <c r="F34" i="2"/>
  <c r="F33" i="2"/>
  <c r="N28" i="2"/>
  <c r="N33" i="2"/>
  <c r="F30" i="2"/>
  <c r="F36" i="2"/>
  <c r="F32" i="2"/>
  <c r="F31" i="2"/>
  <c r="L51" i="2"/>
  <c r="L55" i="2"/>
  <c r="L59" i="2"/>
  <c r="L50" i="2"/>
  <c r="L52" i="2"/>
  <c r="L56" i="2"/>
  <c r="L60" i="2"/>
  <c r="L62" i="2"/>
  <c r="L53" i="2"/>
  <c r="L57" i="2"/>
  <c r="L61" i="2"/>
  <c r="L54" i="2"/>
  <c r="L58" i="2"/>
  <c r="O52" i="2"/>
  <c r="O56" i="2"/>
  <c r="O60" i="2"/>
  <c r="O53" i="2"/>
  <c r="O57" i="2"/>
  <c r="O61" i="2"/>
  <c r="O54" i="2"/>
  <c r="O58" i="2"/>
  <c r="O62" i="2"/>
  <c r="O50" i="2"/>
  <c r="O51" i="2"/>
  <c r="O55" i="2"/>
  <c r="O59" i="2"/>
  <c r="N53" i="2"/>
  <c r="N57" i="2"/>
  <c r="N61" i="2"/>
  <c r="N54" i="2"/>
  <c r="N58" i="2"/>
  <c r="N62" i="2"/>
  <c r="N50" i="2"/>
  <c r="N51" i="2"/>
  <c r="N55" i="2"/>
  <c r="N59" i="2"/>
  <c r="N52" i="2"/>
  <c r="N56" i="2"/>
  <c r="N60" i="2"/>
  <c r="M54" i="2"/>
  <c r="M58" i="2"/>
  <c r="M62" i="2"/>
  <c r="M50" i="2"/>
  <c r="M61" i="2"/>
  <c r="M51" i="2"/>
  <c r="M55" i="2"/>
  <c r="M59" i="2"/>
  <c r="M57" i="2"/>
  <c r="M52" i="2"/>
  <c r="M56" i="2"/>
  <c r="M60" i="2"/>
  <c r="M53" i="2"/>
  <c r="P51" i="2"/>
  <c r="P55" i="2"/>
  <c r="P59" i="2"/>
  <c r="P52" i="2"/>
  <c r="P56" i="2"/>
  <c r="P60" i="2"/>
  <c r="P50" i="2"/>
  <c r="P53" i="2"/>
  <c r="P57" i="2"/>
  <c r="P61" i="2"/>
  <c r="P54" i="2"/>
  <c r="P58" i="2"/>
  <c r="P62" i="2"/>
  <c r="L30" i="2"/>
  <c r="L31" i="2"/>
  <c r="L36" i="2"/>
  <c r="L41" i="2"/>
  <c r="L34" i="2"/>
  <c r="L35" i="2"/>
  <c r="L40" i="2"/>
  <c r="L38" i="2"/>
  <c r="L39" i="2"/>
  <c r="L33" i="2"/>
  <c r="L29" i="2"/>
  <c r="L32" i="2"/>
  <c r="L37" i="2"/>
  <c r="P34" i="2"/>
  <c r="P39" i="2"/>
  <c r="P33" i="2"/>
  <c r="P38" i="2"/>
  <c r="P32" i="2"/>
  <c r="P37" i="2"/>
  <c r="P31" i="2"/>
  <c r="P36" i="2"/>
  <c r="P41" i="2"/>
  <c r="P30" i="2"/>
  <c r="P35" i="2"/>
  <c r="P40" i="2"/>
  <c r="P29" i="2"/>
  <c r="O32" i="2"/>
  <c r="O37" i="2"/>
  <c r="O34" i="2"/>
  <c r="O31" i="2"/>
  <c r="O36" i="2"/>
  <c r="O41" i="2"/>
  <c r="O38" i="2"/>
  <c r="O35" i="2"/>
  <c r="O40" i="2"/>
  <c r="O29" i="2"/>
  <c r="O39" i="2"/>
  <c r="O33" i="2"/>
  <c r="O30" i="2"/>
  <c r="M30" i="2"/>
  <c r="N36" i="2"/>
  <c r="N29" i="2"/>
  <c r="N32" i="2"/>
  <c r="M35" i="2"/>
  <c r="M41" i="2"/>
  <c r="M39" i="2"/>
  <c r="M31" i="2"/>
  <c r="M34" i="2"/>
  <c r="M29" i="2"/>
  <c r="M37" i="2"/>
  <c r="M33" i="2"/>
  <c r="M32" i="2"/>
  <c r="M40" i="2"/>
  <c r="M36" i="2"/>
  <c r="N39" i="2"/>
  <c r="N35" i="2"/>
  <c r="N38" i="2"/>
  <c r="N34" i="2"/>
  <c r="N30" i="2"/>
  <c r="N40" i="2"/>
  <c r="N31" i="2"/>
  <c r="N41" i="2"/>
  <c r="N37" i="2"/>
</calcChain>
</file>

<file path=xl/sharedStrings.xml><?xml version="1.0" encoding="utf-8"?>
<sst xmlns="http://schemas.openxmlformats.org/spreadsheetml/2006/main" count="244" uniqueCount="183">
  <si>
    <t>Overview</t>
  </si>
  <si>
    <t xml:space="preserve">The Distribution Options Financial Analysis Decision Making Tool is a suite of Excel (©Microsoft Corporation) based models designed to assist with the financial decision making related to product distribution and delivery.          </t>
  </si>
  <si>
    <t xml:space="preserve">The Annual Distribution Costs Tab will compare the cost benefit of self distribution with an owned vehicle, self distribution with a leased vehicle, delivery via a shipping service, and distribution via a distributor.  </t>
  </si>
  <si>
    <t>It will also assess whether leasing or owning is more cost effective based on your cost of distribution per mile.</t>
  </si>
  <si>
    <t>The Trip Based Costs Tab is designed to help producers and shippers identify the break-even dollar value or number of cases of product needed on a vehicle based on the margin or dollar fee charged per case. It provides results for both owning and leasing scenarios.</t>
  </si>
  <si>
    <t>The tools were built so that you can use your own data if available. The tools will default to the average costs included in columns F &amp; I in the Annual Distribution Costs tab if no user defined inputs are entered. Some inputs are required, as explained below. For these required inputs you must enter a value. For other variables, if you do not know your value, leave it blank and the average will be used.</t>
  </si>
  <si>
    <t>Instruction Details</t>
  </si>
  <si>
    <t>Annual Distribution Costs Tab</t>
  </si>
  <si>
    <t>Fixed Assumptions</t>
  </si>
  <si>
    <t>For self-distribution analysis, the tool compares your ownership and leasing actual expenses to the Vermont average.</t>
  </si>
  <si>
    <t xml:space="preserve">The model does not take into account depreciation of vehicle assets, however it does take into account the annual cost of ownership (financing and interest), which could alternatively be input as a straightline depreciation variable. </t>
  </si>
  <si>
    <t xml:space="preserve">The model provides a simple cost-benefit analysis over a 12 month period. It does not assess a discount rate to the value of money over time. </t>
  </si>
  <si>
    <t>User Input</t>
  </si>
  <si>
    <t>Required cell. Enter data</t>
  </si>
  <si>
    <t>Beige Cells outlined in red are meant to be modified by you, the user. These cells are required.  Also identified by an *</t>
  </si>
  <si>
    <t>Enter Data in these color cells</t>
  </si>
  <si>
    <t>Beige Cells not outlined in red are not required, but are meant to be modified by you, the user. If you have data for these cells, they will improve the accuracy of your analysis.</t>
  </si>
  <si>
    <t>Variable Number</t>
  </si>
  <si>
    <t>This cell is adjacent to a cell which you can enter data into or make a selection from a pull-down, see list of variables in detail below</t>
  </si>
  <si>
    <t>These cells are calculations or pre-defined (do not edit these cells)</t>
  </si>
  <si>
    <t xml:space="preserve">Cells in light green are not meant to be modified. </t>
  </si>
  <si>
    <t>A black cell means the cell is not applicable to the analysis(do not edit)</t>
  </si>
  <si>
    <t xml:space="preserve">Cells in black are not meant to be modified. </t>
  </si>
  <si>
    <t>Variables</t>
  </si>
  <si>
    <t>Select to use your own data entries or average values. If you select User Defined and have no value where needed, average values will be used</t>
  </si>
  <si>
    <t>Cost breakdown by Case or Pallet</t>
  </si>
  <si>
    <t>Number of Cases Shipped per Year*</t>
  </si>
  <si>
    <t>Number of Pallets Shipped per Year</t>
  </si>
  <si>
    <t>Annual Miles driven (required input)*</t>
  </si>
  <si>
    <t>Driver wage (Hrly inc. Overheads &amp; additionals)*</t>
  </si>
  <si>
    <t>Driver Hours per Day*</t>
  </si>
  <si>
    <t>Number of Days driving per week*</t>
  </si>
  <si>
    <t>Number of Weeks driving per year*</t>
  </si>
  <si>
    <t>Insurance Costs</t>
  </si>
  <si>
    <t>Fuel Costs (enter data or use the equation to determine it based on MPG and avg. price)</t>
  </si>
  <si>
    <t>Average Price ($/Gal)</t>
  </si>
  <si>
    <t>Estimated Fuel Efficiency (mpg)</t>
  </si>
  <si>
    <t>Other Licenses Costs (i.e. dairy, etc.)</t>
  </si>
  <si>
    <t>Avg. Speed of trip (&lt; 100 miles) mph</t>
  </si>
  <si>
    <t>Avg. Speed of trip (&gt; 100 miles) mph</t>
  </si>
  <si>
    <t>Average Annual Maintenance Costs</t>
  </si>
  <si>
    <t>Registration Costs (annual)</t>
  </si>
  <si>
    <t>Capital Cost (debt payments, retained earnings to pay for future truck, etc.)</t>
  </si>
  <si>
    <t>Leasing: Base annual rent</t>
  </si>
  <si>
    <t>Leasing: Charge per mile</t>
  </si>
  <si>
    <t>Leasing: Refer active use cost per hour</t>
  </si>
  <si>
    <t>Leasing: Refer standby cost per hour</t>
  </si>
  <si>
    <t>If using a Shipping service. Do they charge by using a Margin or Mark-Up method</t>
  </si>
  <si>
    <t>Shipping service: Quoted shipping / delivery cost per case</t>
  </si>
  <si>
    <t>Shipping service: Quoted shipping / delivery cost per pallet</t>
  </si>
  <si>
    <t>Shipping service: Percent mark-up per case (if used)</t>
  </si>
  <si>
    <t>Shipping service: Value per case</t>
  </si>
  <si>
    <t>If using a Distributor service. Do they charge by using a Margin or Mark-Up method</t>
  </si>
  <si>
    <t>Distributor: Percent margin (if used)</t>
  </si>
  <si>
    <t>Distributor: Percent mark-up (if used)</t>
  </si>
  <si>
    <t>Distributor: Value of Case or Pallet</t>
  </si>
  <si>
    <t>Trip Based Costs Tab</t>
  </si>
  <si>
    <t xml:space="preserve">Cost per Mile inputs are extracted from the Annual Distribution Cost worksheet. </t>
  </si>
  <si>
    <t>Truck cost analysis: enter the number of miles for a specific truck route.</t>
  </si>
  <si>
    <t xml:space="preserve">Truck cost analysis: enter the number of cases that may be on that truck route. </t>
  </si>
  <si>
    <t xml:space="preserve">Truck cost analysis: enter the number of pallets that may be on that truck route. </t>
  </si>
  <si>
    <t>Questions or Assistance:</t>
  </si>
  <si>
    <t>For more information or technical help with the model, contact:</t>
  </si>
  <si>
    <t>Rosalie Wilson, Technical Provider</t>
  </si>
  <si>
    <t>Jonathan Slason, RSG</t>
  </si>
  <si>
    <t>Limitations</t>
  </si>
  <si>
    <t xml:space="preserve">These tools use observed average data from a limited data set. Additional trucking costs will be added as they become available. 
</t>
  </si>
  <si>
    <t xml:space="preserve">The authors of these tools assume no liability for any errors, omissions, or misuse of this calculation template.   </t>
  </si>
  <si>
    <t xml:space="preserve">These tools are not meant to cover all circumstances or situations, and therefore may not represent your exact situation. </t>
  </si>
  <si>
    <t>These tools are meant to provide a simple method as a way to compare how different distribution options may work for you.</t>
  </si>
  <si>
    <t>DISTRIBUTION OPTIONS</t>
  </si>
  <si>
    <t>FINANCIAL ANALYSIS DECISION MAKING TOOL</t>
  </si>
  <si>
    <t>COST COMPARISON ANALYSIS</t>
  </si>
  <si>
    <t xml:space="preserve">OWN A TRUCK </t>
  </si>
  <si>
    <t>LEASE A TRUCK</t>
  </si>
  <si>
    <t>HIRE SHIPPING SERVICE</t>
  </si>
  <si>
    <t>USE DISTRIBUTOR</t>
  </si>
  <si>
    <t>Total Cost Per Year 
(Operational costs, fuel, and labor)</t>
  </si>
  <si>
    <t>Based on your current volume and cost of operations, the least cost per case above is your most cost efficient delivery solution.</t>
  </si>
  <si>
    <t>OWN A VEHICLE</t>
  </si>
  <si>
    <t>LEASE A VEHICLE</t>
  </si>
  <si>
    <t>&lt;-- Note to User:</t>
  </si>
  <si>
    <t>Opex &amp; Capex Costs per Mile 
(inc Fuel, ex. labor)</t>
  </si>
  <si>
    <t>This comparison of Owning vs. Leasing a truck is a guide that can inform when your costs of operations may suggest one way or another is more cost effective based on per mile expenditures, irrespective of volume.</t>
  </si>
  <si>
    <t>Opex &amp; Capex Costs per Mile 
(inc Fuel, Labor)</t>
  </si>
  <si>
    <t>Inputs</t>
  </si>
  <si>
    <t>Use User Defined Data or Average Data --&gt;</t>
  </si>
  <si>
    <t>User Defined</t>
  </si>
  <si>
    <t>Select Case or Pallet --&gt;</t>
  </si>
  <si>
    <t>Case</t>
  </si>
  <si>
    <t>SELF DISTRIBUTION: OWNERSHIP</t>
  </si>
  <si>
    <t>VS</t>
  </si>
  <si>
    <t>SELF DISTRIBUTION: LEASING</t>
  </si>
  <si>
    <t>SHIPPING SERVICE</t>
  </si>
  <si>
    <t>DISTRIBUTOR COST ANALYSIS</t>
  </si>
  <si>
    <t>SHIPPING VARIABLES</t>
  </si>
  <si>
    <t>VT Average</t>
  </si>
  <si>
    <t>SHARED (Own or Lease)</t>
  </si>
  <si>
    <t>Use Cost or Mark-Up --&gt;</t>
  </si>
  <si>
    <t>Cost</t>
  </si>
  <si>
    <t>Use Margin or Mark-Up --&gt;</t>
  </si>
  <si>
    <t>Mark-Up</t>
  </si>
  <si>
    <t>Quoted shipping / delivery cost per case</t>
  </si>
  <si>
    <t>Percent margin (if used)</t>
  </si>
  <si>
    <t>Quoted shipping / delivery cost per pallet</t>
  </si>
  <si>
    <t>Percent mark-up (if used)</t>
  </si>
  <si>
    <t>Value per case</t>
  </si>
  <si>
    <t>Fuel Costs</t>
  </si>
  <si>
    <t>OWN</t>
  </si>
  <si>
    <t>Not Applicable</t>
  </si>
  <si>
    <t>Registration Costs</t>
  </si>
  <si>
    <t>Capital Cost</t>
  </si>
  <si>
    <t>LEASE</t>
  </si>
  <si>
    <t>Base Rent (Annual)</t>
  </si>
  <si>
    <t>Truck Mileage  charge (cost/mile)</t>
  </si>
  <si>
    <t>Refer Active Use Costs</t>
  </si>
  <si>
    <t>Refer hours per week</t>
  </si>
  <si>
    <t>Refer Standby charge Costs</t>
  </si>
  <si>
    <t>Refer Standby Charge Hours per week</t>
  </si>
  <si>
    <t>DATA + Calculations ---- DO NOT TOUCH</t>
  </si>
  <si>
    <t>Per Mile-Specific Calculations</t>
  </si>
  <si>
    <t>Ownership: Observed Cost per Mile</t>
  </si>
  <si>
    <t>Ownership: Average Cost per Mile</t>
  </si>
  <si>
    <t>Ownership: Observed Check</t>
  </si>
  <si>
    <t>Lease: Observed Cost per Mile</t>
  </si>
  <si>
    <t>Lease: Average Cost per Mile</t>
  </si>
  <si>
    <t>Lease: Observed Check</t>
  </si>
  <si>
    <t>Annual Labor Charge</t>
  </si>
  <si>
    <t>Annual Labor Charge per mile</t>
  </si>
  <si>
    <t>Base Rent</t>
  </si>
  <si>
    <t>Operation Costs</t>
  </si>
  <si>
    <t>Duration of Active Use Costs</t>
  </si>
  <si>
    <t>Duration of Active Use Hours</t>
  </si>
  <si>
    <t>Standby charge Costs</t>
  </si>
  <si>
    <t>Standby Charge Hours</t>
  </si>
  <si>
    <t>Cost Per Mile</t>
  </si>
  <si>
    <r>
      <t>Cost per Mile</t>
    </r>
    <r>
      <rPr>
        <b/>
        <sz val="11"/>
        <color theme="1"/>
        <rFont val="Calibri"/>
        <family val="2"/>
        <scheme val="minor"/>
      </rPr>
      <t xml:space="preserve"> 
(User Defined)</t>
    </r>
  </si>
  <si>
    <r>
      <t>Cost per Mile</t>
    </r>
    <r>
      <rPr>
        <b/>
        <sz val="11"/>
        <color theme="1"/>
        <rFont val="Calibri"/>
        <family val="2"/>
        <scheme val="minor"/>
      </rPr>
      <t xml:space="preserve"> 
(OWNERSHIP AVG)</t>
    </r>
  </si>
  <si>
    <r>
      <t xml:space="preserve">Cost per Mile 
</t>
    </r>
    <r>
      <rPr>
        <b/>
        <sz val="11"/>
        <color theme="1"/>
        <rFont val="Calibri"/>
        <family val="2"/>
        <scheme val="minor"/>
      </rPr>
      <t>(LEASE - User Defined)</t>
    </r>
  </si>
  <si>
    <r>
      <t xml:space="preserve">Cost per Mile 
</t>
    </r>
    <r>
      <rPr>
        <b/>
        <sz val="11"/>
        <color theme="1"/>
        <rFont val="Calibri"/>
        <family val="2"/>
        <scheme val="minor"/>
      </rPr>
      <t>(LEASE AVG)</t>
    </r>
  </si>
  <si>
    <t>Operational Costs per Mile (exclude fuel and labor)</t>
  </si>
  <si>
    <t>Operational + Capital Cost per Mile(exclude fuel and labor)</t>
  </si>
  <si>
    <t>Opex &amp; Capex Costs per Mile (inc Fuel, ex. labor)</t>
  </si>
  <si>
    <t>Opex &amp; Capex Costs per Mile (inc Fuel, Labor)</t>
  </si>
  <si>
    <t>(N/A) - No Average Labor Costs</t>
  </si>
  <si>
    <t>Lease Costs per Mile without Fuel</t>
  </si>
  <si>
    <t>Lease Costs per Mile (inc Fuel ex Labor)</t>
  </si>
  <si>
    <t>Lease Costs per Mile (inc Fuel, Labor)</t>
  </si>
  <si>
    <t>Note to user:</t>
  </si>
  <si>
    <t xml:space="preserve">This Worksheet is for analysis of your costs of operations for a specific mileage. 
This Worksheet uses the inputs from the Annual Distribution Cost worksheet and the per mile output.  
This is helpful for operators of specific routes to understand the volume on the truck necessary to pay its way, or for producers who may run limited distribution services understand what it may be worth for them to hire or pay for a specific route. </t>
  </si>
  <si>
    <t>&lt;-- linked from Annual Distribution Costs (Variable #1)</t>
  </si>
  <si>
    <t>Comparison by Trip Costs + Product Volumes</t>
  </si>
  <si>
    <t>Owning</t>
  </si>
  <si>
    <t>Leasing</t>
  </si>
  <si>
    <t>miles:</t>
  </si>
  <si>
    <t xml:space="preserve">Note to user: </t>
  </si>
  <si>
    <t>Driver cost</t>
  </si>
  <si>
    <t>This analysis is to determine what the cost per unit for a specific trip length on a truck using the cost per mile data entered in the Annual Distribution Costs</t>
  </si>
  <si>
    <t>Ops + Capex Cost</t>
  </si>
  <si>
    <t>Trip Cost</t>
  </si>
  <si>
    <t>inputs:</t>
  </si>
  <si>
    <t>Room on the Truck</t>
  </si>
  <si>
    <t>- length of route (miles)
- number of cases on the truck or number of pallets</t>
  </si>
  <si>
    <t>Cases</t>
  </si>
  <si>
    <t>cost per case</t>
  </si>
  <si>
    <t>Pallets</t>
  </si>
  <si>
    <t>cost per pallet</t>
  </si>
  <si>
    <t>How Much Product Do You Need on the Truck to Cover the Costs?</t>
  </si>
  <si>
    <t xml:space="preserve">If you charge a Mark-Up the dollar value of product needed on the truck to break even is: </t>
  </si>
  <si>
    <t>If you charge a fee per case, the number of cases needed on the truck to break even is:</t>
  </si>
  <si>
    <t>Values are presented from lower (green) to higher (red).</t>
  </si>
  <si>
    <t>Trip Length</t>
  </si>
  <si>
    <t>Mark-up charged per case (Margin)</t>
  </si>
  <si>
    <t>$ fee charged per case</t>
  </si>
  <si>
    <t>Number of Cases</t>
  </si>
  <si>
    <t>If you charge a Mark-Up the dollar value of product needed on the truck to break even is:</t>
  </si>
  <si>
    <t>TruckCostInputData</t>
  </si>
  <si>
    <t>CasePallet</t>
  </si>
  <si>
    <t>Select One…</t>
  </si>
  <si>
    <t>Select One</t>
  </si>
  <si>
    <t>Margin</t>
  </si>
  <si>
    <t>Average</t>
  </si>
  <si>
    <t>Pallet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</si>
</sst>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_);\(&quot;$&quot;#,##0.00\)"/>
    <numFmt numFmtId="44" formatCode="_(&quot;$&quot;* #,##0.00_);_(&quot;$&quot;* \(#,##0.00\);_(&quot;$&quot;* &quot;-&quot;??_);_(@_)"/>
    <numFmt numFmtId="43" formatCode="_(* #,##0.00_);_(* \(#,##0.00\);_(* &quot;-&quot;??_);_(@_)"/>
    <numFmt numFmtId="164" formatCode="_(&quot;$&quot;* #,##0.000_);_(&quot;$&quot;* \(#,##0.000\);_(&quot;$&quot;* &quot;-&quot;??_);_(@_)"/>
    <numFmt numFmtId="165" formatCode="_(&quot;$&quot;* #,##0_);_(&quot;$&quot;* \(#,##0\);_(&quot;$&quot;* &quot;-&quot;??_);_(@_)"/>
    <numFmt numFmtId="166" formatCode="_(* #,##0_);_(* \(#,##0\);_(* &quot;-&quot;??_);_(@_)"/>
    <numFmt numFmtId="167" formatCode="0.0000"/>
    <numFmt numFmtId="168" formatCode="0.000"/>
    <numFmt numFmtId="169" formatCode="&quot;$&quot;#,##0.00"/>
  </numFmts>
  <fonts count="35"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i/>
      <sz val="11"/>
      <color theme="1"/>
      <name val="Calibri"/>
      <family val="2"/>
      <scheme val="minor"/>
    </font>
    <font>
      <sz val="18"/>
      <color theme="3"/>
      <name val="Calibri Light"/>
      <family val="2"/>
      <scheme val="major"/>
    </font>
    <font>
      <sz val="11"/>
      <color theme="0"/>
      <name val="Calibri"/>
      <family val="2"/>
      <scheme val="minor"/>
    </font>
    <font>
      <i/>
      <sz val="11"/>
      <color theme="1"/>
      <name val="Calibri"/>
      <family val="2"/>
      <scheme val="minor"/>
    </font>
    <font>
      <sz val="12"/>
      <color theme="1"/>
      <name val="Calibri"/>
      <family val="2"/>
      <scheme val="minor"/>
    </font>
    <font>
      <b/>
      <sz val="12"/>
      <name val="Calibri"/>
      <family val="2"/>
      <scheme val="minor"/>
    </font>
    <font>
      <i/>
      <sz val="12"/>
      <color theme="1"/>
      <name val="Calibri"/>
      <family val="2"/>
      <scheme val="minor"/>
    </font>
    <font>
      <b/>
      <sz val="12"/>
      <color theme="1" tint="0.249977111117893"/>
      <name val="Calibri"/>
      <family val="2"/>
      <scheme val="minor"/>
    </font>
    <font>
      <sz val="14"/>
      <color theme="0"/>
      <name val="Calibri"/>
      <family val="2"/>
      <scheme val="minor"/>
    </font>
    <font>
      <b/>
      <sz val="16"/>
      <color theme="1"/>
      <name val="Calibri"/>
      <family val="2"/>
      <scheme val="minor"/>
    </font>
    <font>
      <b/>
      <sz val="20"/>
      <color theme="3"/>
      <name val="Calibri Light"/>
      <family val="2"/>
      <scheme val="major"/>
    </font>
    <font>
      <b/>
      <sz val="20"/>
      <color theme="3"/>
      <name val="Calibri"/>
      <family val="2"/>
      <scheme val="minor"/>
    </font>
    <font>
      <sz val="18"/>
      <name val="Calibri Light"/>
      <family val="2"/>
      <scheme val="major"/>
    </font>
    <font>
      <b/>
      <u/>
      <sz val="16"/>
      <color theme="1"/>
      <name val="Calibri"/>
      <family val="2"/>
      <scheme val="minor"/>
    </font>
    <font>
      <sz val="16"/>
      <color theme="1"/>
      <name val="Calibri"/>
      <family val="2"/>
      <scheme val="minor"/>
    </font>
    <font>
      <b/>
      <sz val="20"/>
      <color theme="1"/>
      <name val="Calibri"/>
      <family val="2"/>
      <scheme val="minor"/>
    </font>
    <font>
      <b/>
      <sz val="18"/>
      <color theme="1"/>
      <name val="Calibri"/>
      <family val="2"/>
      <scheme val="minor"/>
    </font>
    <font>
      <sz val="14"/>
      <color theme="1"/>
      <name val="Calibri"/>
      <family val="2"/>
      <scheme val="minor"/>
    </font>
    <font>
      <b/>
      <sz val="24"/>
      <color theme="1"/>
      <name val="Calibri"/>
      <family val="2"/>
      <scheme val="minor"/>
    </font>
    <font>
      <b/>
      <sz val="14"/>
      <color theme="1" tint="0.24994659260841701"/>
      <name val="Calibri"/>
      <family val="2"/>
      <scheme val="minor"/>
    </font>
    <font>
      <b/>
      <sz val="14"/>
      <color theme="1" tint="0.249977111117893"/>
      <name val="Calibri"/>
      <family val="2"/>
      <scheme val="minor"/>
    </font>
    <font>
      <b/>
      <sz val="20"/>
      <color theme="1" tint="0.34998626667073579"/>
      <name val="Calibri"/>
      <family val="2"/>
      <scheme val="minor"/>
    </font>
    <font>
      <b/>
      <sz val="11"/>
      <color theme="0"/>
      <name val="Calibri"/>
      <family val="2"/>
      <scheme val="minor"/>
    </font>
    <font>
      <sz val="10.5"/>
      <color theme="1"/>
      <name val="Calibri"/>
      <family val="2"/>
      <scheme val="minor"/>
    </font>
    <font>
      <b/>
      <u/>
      <sz val="11"/>
      <color theme="1"/>
      <name val="Calibri"/>
      <family val="2"/>
      <scheme val="minor"/>
    </font>
    <font>
      <b/>
      <sz val="18"/>
      <name val="Calibri Light"/>
      <family val="2"/>
      <scheme val="major"/>
    </font>
    <font>
      <b/>
      <sz val="12"/>
      <color theme="1"/>
      <name val="Calibri"/>
      <family val="2"/>
      <scheme val="minor"/>
    </font>
    <font>
      <b/>
      <sz val="11"/>
      <name val="Calibri"/>
      <family val="2"/>
      <scheme val="minor"/>
    </font>
    <font>
      <sz val="16"/>
      <color theme="0"/>
      <name val="Calibri"/>
      <family val="2"/>
      <scheme val="minor"/>
    </font>
    <font>
      <b/>
      <sz val="26"/>
      <color theme="3"/>
      <name val="Calibri"/>
      <family val="2"/>
      <scheme val="minor"/>
    </font>
    <font>
      <sz val="14"/>
      <name val="Calibri"/>
      <family val="2"/>
      <scheme val="minor"/>
    </font>
  </fonts>
  <fills count="22">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rgb="FFFFFF00"/>
        <bgColor indexed="64"/>
      </patternFill>
    </fill>
    <fill>
      <patternFill patternType="solid">
        <fgColor theme="6" tint="0.59999389629810485"/>
        <bgColor indexed="64"/>
      </patternFill>
    </fill>
    <fill>
      <gradientFill degree="270">
        <stop position="0">
          <color theme="0"/>
        </stop>
        <stop position="1">
          <color theme="7" tint="0.40000610370189521"/>
        </stop>
      </gradientFill>
    </fill>
    <fill>
      <gradientFill degree="270">
        <stop position="0">
          <color theme="0"/>
        </stop>
        <stop position="1">
          <color theme="6"/>
        </stop>
      </gradientFill>
    </fill>
    <fill>
      <patternFill patternType="solid">
        <fgColor theme="5"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2" tint="-0.89999084444715716"/>
        <bgColor indexed="64"/>
      </patternFill>
    </fill>
    <fill>
      <patternFill patternType="solid">
        <fgColor theme="1"/>
        <bgColor indexed="64"/>
      </patternFill>
    </fill>
    <fill>
      <patternFill patternType="solid">
        <fgColor theme="0"/>
        <bgColor auto="1"/>
      </patternFill>
    </fill>
    <fill>
      <patternFill patternType="solid">
        <fgColor theme="1" tint="0.499984740745262"/>
        <bgColor indexed="64"/>
      </patternFill>
    </fill>
    <fill>
      <patternFill patternType="solid">
        <fgColor theme="4" tint="-0.249977111117893"/>
        <bgColor indexed="64"/>
      </patternFill>
    </fill>
  </fills>
  <borders count="52">
    <border>
      <left/>
      <right/>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hair">
        <color auto="1"/>
      </bottom>
      <diagonal/>
    </border>
    <border>
      <left/>
      <right/>
      <top style="hair">
        <color indexed="64"/>
      </top>
      <bottom style="hair">
        <color indexed="64"/>
      </bottom>
      <diagonal/>
    </border>
    <border>
      <left/>
      <right/>
      <top style="hair">
        <color auto="1"/>
      </top>
      <bottom/>
      <diagonal/>
    </border>
    <border>
      <left style="thin">
        <color indexed="64"/>
      </left>
      <right/>
      <top style="medium">
        <color auto="1"/>
      </top>
      <bottom/>
      <diagonal/>
    </border>
    <border>
      <left style="thin">
        <color auto="1"/>
      </left>
      <right/>
      <top/>
      <bottom style="medium">
        <color indexed="64"/>
      </bottom>
      <diagonal/>
    </border>
    <border>
      <left style="medium">
        <color indexed="64"/>
      </left>
      <right style="thin">
        <color auto="1"/>
      </right>
      <top/>
      <bottom/>
      <diagonal/>
    </border>
    <border>
      <left/>
      <right style="thin">
        <color auto="1"/>
      </right>
      <top/>
      <bottom style="medium">
        <color indexed="64"/>
      </bottom>
      <diagonal/>
    </border>
    <border>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medium">
        <color indexed="64"/>
      </right>
      <top style="medium">
        <color indexed="64"/>
      </top>
      <bottom/>
      <diagonal/>
    </border>
    <border>
      <left style="medium">
        <color rgb="FFFF0000"/>
      </left>
      <right style="medium">
        <color indexed="64"/>
      </right>
      <top style="medium">
        <color rgb="FFFF0000"/>
      </top>
      <bottom style="medium">
        <color rgb="FFFF0000"/>
      </bottom>
      <diagonal/>
    </border>
    <border>
      <left style="thin">
        <color auto="1"/>
      </left>
      <right/>
      <top style="medium">
        <color rgb="FFFF0000"/>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indexed="64"/>
      </bottom>
      <diagonal/>
    </border>
    <border>
      <left style="thin">
        <color auto="1"/>
      </left>
      <right/>
      <top style="hair">
        <color auto="1"/>
      </top>
      <bottom/>
      <diagonal/>
    </border>
    <border>
      <left style="thin">
        <color auto="1"/>
      </left>
      <right/>
      <top style="medium">
        <color indexed="64"/>
      </top>
      <bottom style="hair">
        <color auto="1"/>
      </bottom>
      <diagonal/>
    </border>
    <border>
      <left style="thin">
        <color auto="1"/>
      </left>
      <right/>
      <top style="medium">
        <color rgb="FFFF0000"/>
      </top>
      <bottom style="hair">
        <color theme="1"/>
      </bottom>
      <diagonal/>
    </border>
    <border>
      <left style="thin">
        <color auto="1"/>
      </left>
      <right/>
      <top style="hair">
        <color theme="1"/>
      </top>
      <bottom style="hair">
        <color theme="1"/>
      </bottom>
      <diagonal/>
    </border>
    <border>
      <left/>
      <right/>
      <top style="hair">
        <color theme="1"/>
      </top>
      <bottom style="hair">
        <color theme="1"/>
      </bottom>
      <diagonal/>
    </border>
    <border>
      <left/>
      <right/>
      <top style="hair">
        <color theme="1"/>
      </top>
      <bottom style="medium">
        <color auto="1"/>
      </bottom>
      <diagonal/>
    </border>
    <border>
      <left style="medium">
        <color indexed="64"/>
      </left>
      <right style="medium">
        <color indexed="64"/>
      </right>
      <top/>
      <bottom style="medium">
        <color auto="1"/>
      </bottom>
      <diagonal/>
    </border>
    <border>
      <left style="thick">
        <color auto="1"/>
      </left>
      <right/>
      <top style="thick">
        <color auto="1"/>
      </top>
      <bottom style="dotted">
        <color auto="1"/>
      </bottom>
      <diagonal/>
    </border>
    <border>
      <left/>
      <right/>
      <top style="thick">
        <color auto="1"/>
      </top>
      <bottom style="dotted">
        <color auto="1"/>
      </bottom>
      <diagonal/>
    </border>
    <border>
      <left/>
      <right style="thick">
        <color auto="1"/>
      </right>
      <top style="thick">
        <color auto="1"/>
      </top>
      <bottom style="dotted">
        <color auto="1"/>
      </bottom>
      <diagonal/>
    </border>
    <border>
      <left style="thick">
        <color auto="1"/>
      </left>
      <right/>
      <top style="dotted">
        <color auto="1"/>
      </top>
      <bottom style="dotted">
        <color auto="1"/>
      </bottom>
      <diagonal/>
    </border>
    <border>
      <left/>
      <right/>
      <top style="dotted">
        <color auto="1"/>
      </top>
      <bottom style="dotted">
        <color auto="1"/>
      </bottom>
      <diagonal/>
    </border>
    <border>
      <left/>
      <right style="thick">
        <color auto="1"/>
      </right>
      <top style="dotted">
        <color auto="1"/>
      </top>
      <bottom style="dotted">
        <color auto="1"/>
      </bottom>
      <diagonal/>
    </border>
    <border>
      <left style="thick">
        <color auto="1"/>
      </left>
      <right/>
      <top style="dotted">
        <color auto="1"/>
      </top>
      <bottom style="thick">
        <color auto="1"/>
      </bottom>
      <diagonal/>
    </border>
    <border>
      <left/>
      <right/>
      <top style="dotted">
        <color auto="1"/>
      </top>
      <bottom style="thick">
        <color auto="1"/>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0" fontId="5" fillId="0" borderId="0" applyNumberFormat="0" applyFill="0" applyBorder="0" applyAlignment="0" applyProtection="0"/>
    <xf numFmtId="0" fontId="3" fillId="4" borderId="0" applyNumberFormat="0" applyBorder="0" applyAlignment="0" applyProtection="0"/>
    <xf numFmtId="0" fontId="6" fillId="5" borderId="0" applyNumberFormat="0" applyBorder="0" applyAlignment="0" applyProtection="0"/>
    <xf numFmtId="0" fontId="3" fillId="6" borderId="0" applyNumberFormat="0" applyBorder="0" applyAlignment="0" applyProtection="0"/>
    <xf numFmtId="9" fontId="3" fillId="0" borderId="0" applyFont="0" applyFill="0" applyBorder="0" applyAlignment="0" applyProtection="0"/>
    <xf numFmtId="0" fontId="2" fillId="0" borderId="0" applyNumberFormat="0" applyFill="0" applyBorder="0" applyAlignment="0" applyProtection="0"/>
  </cellStyleXfs>
  <cellXfs count="330">
    <xf numFmtId="0" fontId="0" fillId="0" borderId="0" xfId="0"/>
    <xf numFmtId="0" fontId="1" fillId="0" borderId="0" xfId="0" applyFont="1"/>
    <xf numFmtId="0" fontId="8" fillId="2" borderId="3" xfId="0" applyFont="1" applyFill="1" applyBorder="1" applyAlignment="1">
      <alignment horizontal="center" vertical="center"/>
    </xf>
    <xf numFmtId="0" fontId="0" fillId="0" borderId="0" xfId="0" applyFont="1"/>
    <xf numFmtId="0" fontId="1" fillId="0" borderId="0" xfId="0" applyFont="1" applyProtection="1"/>
    <xf numFmtId="0" fontId="0" fillId="0" borderId="0" xfId="0" applyProtection="1"/>
    <xf numFmtId="0" fontId="0" fillId="0" borderId="0" xfId="0" applyBorder="1" applyProtection="1"/>
    <xf numFmtId="0" fontId="1" fillId="0" borderId="4" xfId="0" applyFont="1" applyBorder="1" applyProtection="1"/>
    <xf numFmtId="0" fontId="1" fillId="11" borderId="5" xfId="0" applyFont="1" applyFill="1" applyBorder="1" applyAlignment="1" applyProtection="1">
      <alignment horizontal="center" wrapText="1"/>
    </xf>
    <xf numFmtId="0" fontId="1" fillId="0" borderId="5" xfId="0" applyFont="1" applyBorder="1" applyAlignment="1" applyProtection="1">
      <alignment horizontal="center" wrapText="1"/>
    </xf>
    <xf numFmtId="0" fontId="1" fillId="0" borderId="0" xfId="0" applyFont="1" applyBorder="1" applyAlignment="1" applyProtection="1">
      <alignment horizontal="center" wrapText="1"/>
    </xf>
    <xf numFmtId="0" fontId="0" fillId="0" borderId="7" xfId="0" applyBorder="1" applyProtection="1"/>
    <xf numFmtId="168" fontId="0" fillId="0" borderId="0" xfId="0" applyNumberFormat="1" applyBorder="1" applyAlignment="1" applyProtection="1">
      <alignment horizontal="center"/>
    </xf>
    <xf numFmtId="167" fontId="0" fillId="0" borderId="0" xfId="0" applyNumberFormat="1" applyBorder="1" applyAlignment="1" applyProtection="1">
      <alignment horizontal="center"/>
    </xf>
    <xf numFmtId="0" fontId="8" fillId="0" borderId="7" xfId="6" applyFont="1" applyFill="1" applyBorder="1" applyAlignment="1" applyProtection="1">
      <alignment vertical="center"/>
    </xf>
    <xf numFmtId="167" fontId="0" fillId="8" borderId="0" xfId="0" applyNumberFormat="1" applyFill="1" applyBorder="1" applyAlignment="1" applyProtection="1">
      <alignment horizontal="center"/>
    </xf>
    <xf numFmtId="0" fontId="7" fillId="0" borderId="7" xfId="0" applyFont="1" applyBorder="1" applyAlignment="1" applyProtection="1">
      <alignment horizontal="right"/>
    </xf>
    <xf numFmtId="0" fontId="7" fillId="0" borderId="7" xfId="0" applyFont="1" applyFill="1" applyBorder="1" applyAlignment="1" applyProtection="1">
      <alignment horizontal="right"/>
    </xf>
    <xf numFmtId="0" fontId="8" fillId="6" borderId="1" xfId="6" applyFont="1" applyBorder="1" applyAlignment="1" applyProtection="1">
      <alignment horizontal="right"/>
    </xf>
    <xf numFmtId="0" fontId="1" fillId="11" borderId="0" xfId="0" applyFont="1" applyFill="1" applyBorder="1" applyAlignment="1" applyProtection="1">
      <alignment horizontal="center" wrapText="1"/>
    </xf>
    <xf numFmtId="0" fontId="20" fillId="0" borderId="0" xfId="0" applyFont="1" applyAlignment="1">
      <alignment vertical="top"/>
    </xf>
    <xf numFmtId="0" fontId="0" fillId="0" borderId="0" xfId="0" applyAlignment="1">
      <alignment vertical="top"/>
    </xf>
    <xf numFmtId="0" fontId="20" fillId="0" borderId="0" xfId="0" applyFont="1" applyAlignment="1">
      <alignment vertical="center"/>
    </xf>
    <xf numFmtId="0" fontId="2" fillId="0" borderId="0" xfId="8" applyAlignment="1">
      <alignment vertical="top"/>
    </xf>
    <xf numFmtId="0" fontId="0" fillId="18" borderId="0" xfId="0" applyFill="1"/>
    <xf numFmtId="0" fontId="9" fillId="0" borderId="0" xfId="1" applyNumberFormat="1" applyFont="1" applyFill="1" applyBorder="1" applyAlignment="1" applyProtection="1">
      <alignment vertical="center"/>
      <protection locked="0"/>
    </xf>
    <xf numFmtId="9" fontId="0" fillId="2" borderId="8" xfId="7" applyFont="1" applyFill="1" applyBorder="1" applyProtection="1">
      <protection locked="0"/>
    </xf>
    <xf numFmtId="44" fontId="0" fillId="2" borderId="8" xfId="2" applyFont="1" applyFill="1" applyBorder="1" applyProtection="1">
      <protection locked="0"/>
    </xf>
    <xf numFmtId="44" fontId="0" fillId="2" borderId="11" xfId="2" applyFont="1" applyFill="1" applyBorder="1" applyProtection="1">
      <protection locked="0"/>
    </xf>
    <xf numFmtId="44" fontId="8" fillId="2" borderId="3" xfId="2" applyFont="1" applyFill="1" applyBorder="1" applyAlignment="1" applyProtection="1">
      <alignment horizontal="center" vertical="center"/>
      <protection locked="0"/>
    </xf>
    <xf numFmtId="44" fontId="8" fillId="16" borderId="2" xfId="2" applyNumberFormat="1" applyFont="1" applyFill="1" applyBorder="1" applyAlignment="1" applyProtection="1">
      <alignment horizontal="center" vertical="center"/>
      <protection locked="0"/>
    </xf>
    <xf numFmtId="44" fontId="0" fillId="2" borderId="8" xfId="2" applyNumberFormat="1" applyFont="1" applyFill="1" applyBorder="1" applyProtection="1">
      <protection locked="0"/>
    </xf>
    <xf numFmtId="0" fontId="9" fillId="2" borderId="26" xfId="1" applyNumberFormat="1"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protection locked="0"/>
    </xf>
    <xf numFmtId="0" fontId="20" fillId="2" borderId="25" xfId="0" applyFont="1" applyFill="1" applyBorder="1" applyAlignment="1" applyProtection="1">
      <alignment horizontal="center" vertical="center" wrapText="1"/>
      <protection locked="0"/>
    </xf>
    <xf numFmtId="0" fontId="20" fillId="2" borderId="33" xfId="0" applyFont="1" applyFill="1" applyBorder="1" applyAlignment="1" applyProtection="1">
      <alignment horizontal="center" vertical="center"/>
      <protection locked="0"/>
    </xf>
    <xf numFmtId="1" fontId="0" fillId="0" borderId="0" xfId="0" applyNumberFormat="1" applyBorder="1" applyAlignment="1" applyProtection="1"/>
    <xf numFmtId="165" fontId="0" fillId="0" borderId="0" xfId="2" applyNumberFormat="1" applyFont="1" applyBorder="1" applyAlignment="1" applyProtection="1"/>
    <xf numFmtId="164" fontId="0" fillId="0" borderId="0" xfId="2" applyNumberFormat="1" applyFont="1" applyBorder="1" applyAlignment="1" applyProtection="1"/>
    <xf numFmtId="44" fontId="8" fillId="2" borderId="34" xfId="2" applyFont="1" applyFill="1" applyBorder="1" applyAlignment="1" applyProtection="1">
      <alignment horizontal="center" vertical="center"/>
      <protection locked="0"/>
    </xf>
    <xf numFmtId="44" fontId="8" fillId="2" borderId="35" xfId="2" applyFont="1" applyFill="1" applyBorder="1" applyAlignment="1" applyProtection="1">
      <alignment horizontal="center" vertical="center"/>
      <protection locked="0"/>
    </xf>
    <xf numFmtId="4" fontId="10" fillId="2" borderId="35" xfId="0" applyNumberFormat="1" applyFont="1" applyFill="1" applyBorder="1" applyAlignment="1" applyProtection="1">
      <alignment horizontal="center" vertical="center"/>
      <protection locked="0"/>
    </xf>
    <xf numFmtId="4" fontId="8" fillId="2" borderId="35" xfId="0" applyNumberFormat="1" applyFont="1" applyFill="1" applyBorder="1" applyAlignment="1" applyProtection="1">
      <alignment horizontal="center" vertical="center"/>
      <protection locked="0"/>
    </xf>
    <xf numFmtId="44" fontId="8" fillId="2" borderId="36" xfId="2" applyFont="1" applyFill="1" applyBorder="1" applyAlignment="1" applyProtection="1">
      <alignment horizontal="center" vertical="center"/>
      <protection locked="0"/>
    </xf>
    <xf numFmtId="4" fontId="8" fillId="2" borderId="37" xfId="0" applyNumberFormat="1" applyFont="1" applyFill="1" applyBorder="1" applyAlignment="1" applyProtection="1">
      <alignment horizontal="center" vertical="center"/>
      <protection locked="0"/>
    </xf>
    <xf numFmtId="44" fontId="8" fillId="2" borderId="38" xfId="2" applyFont="1" applyFill="1" applyBorder="1" applyAlignment="1" applyProtection="1">
      <alignment horizontal="center" vertical="center"/>
      <protection locked="0"/>
    </xf>
    <xf numFmtId="44" fontId="8" fillId="2" borderId="39" xfId="2" applyFont="1" applyFill="1" applyBorder="1" applyAlignment="1" applyProtection="1">
      <alignment horizontal="center" vertical="center"/>
      <protection locked="0"/>
    </xf>
    <xf numFmtId="44" fontId="8" fillId="2" borderId="40" xfId="2" applyFont="1" applyFill="1" applyBorder="1" applyAlignment="1" applyProtection="1">
      <alignment horizontal="center" vertical="center"/>
      <protection locked="0"/>
    </xf>
    <xf numFmtId="4" fontId="10" fillId="2" borderId="40" xfId="0" applyNumberFormat="1" applyFont="1" applyFill="1" applyBorder="1" applyAlignment="1" applyProtection="1">
      <alignment horizontal="center" vertical="center"/>
      <protection locked="0"/>
    </xf>
    <xf numFmtId="4" fontId="8" fillId="2" borderId="41" xfId="0" applyNumberFormat="1" applyFont="1" applyFill="1" applyBorder="1" applyAlignment="1" applyProtection="1">
      <alignment horizontal="center" vertical="center"/>
      <protection locked="0"/>
    </xf>
    <xf numFmtId="4" fontId="8" fillId="2" borderId="42" xfId="0" applyNumberFormat="1" applyFont="1" applyFill="1" applyBorder="1" applyAlignment="1" applyProtection="1">
      <alignment horizontal="center" vertical="center"/>
      <protection locked="0"/>
    </xf>
    <xf numFmtId="44" fontId="8" fillId="2" borderId="37" xfId="2" applyFont="1" applyFill="1" applyBorder="1" applyAlignment="1" applyProtection="1">
      <alignment horizontal="center" vertical="center"/>
      <protection locked="0"/>
    </xf>
    <xf numFmtId="0" fontId="8" fillId="0" borderId="0" xfId="6" applyFont="1" applyFill="1" applyBorder="1" applyAlignment="1" applyProtection="1">
      <alignment vertical="center"/>
    </xf>
    <xf numFmtId="0" fontId="7" fillId="0" borderId="0" xfId="0" applyFont="1" applyFill="1" applyBorder="1" applyAlignment="1" applyProtection="1">
      <alignment horizontal="right"/>
    </xf>
    <xf numFmtId="0" fontId="1" fillId="0" borderId="0" xfId="0" applyFont="1" applyFill="1" applyProtection="1"/>
    <xf numFmtId="0" fontId="1" fillId="0" borderId="5" xfId="0" applyFont="1" applyFill="1" applyBorder="1" applyProtection="1"/>
    <xf numFmtId="0" fontId="0" fillId="0" borderId="0" xfId="0" applyFill="1" applyBorder="1" applyProtection="1"/>
    <xf numFmtId="0" fontId="8" fillId="0" borderId="0" xfId="6" applyFont="1" applyFill="1" applyBorder="1" applyAlignment="1" applyProtection="1">
      <alignment horizontal="right"/>
    </xf>
    <xf numFmtId="1" fontId="26" fillId="21" borderId="0" xfId="0" applyNumberFormat="1" applyFont="1" applyFill="1" applyBorder="1" applyAlignment="1" applyProtection="1">
      <alignment horizontal="center" vertical="center"/>
      <protection locked="0"/>
    </xf>
    <xf numFmtId="0" fontId="0" fillId="0" borderId="0" xfId="0" applyFill="1"/>
    <xf numFmtId="0" fontId="0" fillId="0" borderId="0" xfId="0" applyBorder="1"/>
    <xf numFmtId="0" fontId="8" fillId="0" borderId="0" xfId="6" applyFont="1" applyFill="1" applyBorder="1" applyAlignment="1">
      <alignment horizontal="right"/>
    </xf>
    <xf numFmtId="0" fontId="2" fillId="0" borderId="0" xfId="8"/>
    <xf numFmtId="0" fontId="0" fillId="0" borderId="0" xfId="0" applyFill="1" applyBorder="1"/>
    <xf numFmtId="0" fontId="9" fillId="2" borderId="25" xfId="1" applyNumberFormat="1" applyFont="1" applyFill="1" applyBorder="1" applyAlignment="1" applyProtection="1">
      <alignment vertical="center"/>
      <protection locked="0"/>
    </xf>
    <xf numFmtId="0" fontId="0" fillId="0" borderId="0" xfId="0" applyAlignment="1">
      <alignment horizontal="left" vertical="top"/>
    </xf>
    <xf numFmtId="0" fontId="0" fillId="0" borderId="0" xfId="0" applyFont="1" applyAlignment="1">
      <alignment vertical="top"/>
    </xf>
    <xf numFmtId="0" fontId="13" fillId="0" borderId="0" xfId="0" applyFont="1" applyAlignment="1">
      <alignment horizontal="left" vertical="top"/>
    </xf>
    <xf numFmtId="0" fontId="13" fillId="0" borderId="0" xfId="0" applyFont="1" applyAlignment="1">
      <alignment vertical="top"/>
    </xf>
    <xf numFmtId="0" fontId="0" fillId="0" borderId="0" xfId="0" applyAlignment="1">
      <alignment horizontal="left"/>
    </xf>
    <xf numFmtId="0" fontId="31" fillId="0" borderId="0" xfId="1" applyNumberFormat="1" applyFont="1" applyFill="1" applyBorder="1" applyAlignment="1" applyProtection="1">
      <alignment vertical="center"/>
      <protection locked="0"/>
    </xf>
    <xf numFmtId="0" fontId="9" fillId="0" borderId="0" xfId="1" applyNumberFormat="1" applyFont="1" applyFill="1" applyBorder="1" applyAlignment="1" applyProtection="1">
      <alignment vertical="center"/>
    </xf>
    <xf numFmtId="0" fontId="0" fillId="0" borderId="0" xfId="0" applyBorder="1" applyAlignment="1" applyProtection="1"/>
    <xf numFmtId="0" fontId="0" fillId="0" borderId="0" xfId="0" applyAlignment="1" applyProtection="1"/>
    <xf numFmtId="0" fontId="0" fillId="0" borderId="0" xfId="0" applyFill="1" applyAlignment="1" applyProtection="1"/>
    <xf numFmtId="0" fontId="17" fillId="0" borderId="7" xfId="0" applyFont="1" applyFill="1" applyBorder="1" applyAlignment="1" applyProtection="1">
      <alignment horizontal="center"/>
    </xf>
    <xf numFmtId="0" fontId="17" fillId="0" borderId="0" xfId="0" applyFont="1" applyFill="1" applyBorder="1" applyAlignment="1" applyProtection="1">
      <alignment horizontal="center"/>
    </xf>
    <xf numFmtId="0" fontId="17" fillId="0" borderId="0" xfId="0" applyFont="1" applyFill="1" applyBorder="1" applyAlignment="1" applyProtection="1">
      <alignment horizontal="center" wrapText="1"/>
    </xf>
    <xf numFmtId="0" fontId="0" fillId="0" borderId="0" xfId="0" applyAlignment="1" applyProtection="1">
      <alignment horizontal="center" vertical="center"/>
    </xf>
    <xf numFmtId="0" fontId="13" fillId="0" borderId="7" xfId="0" applyFont="1" applyFill="1" applyBorder="1" applyAlignment="1" applyProtection="1">
      <alignment horizontal="right"/>
    </xf>
    <xf numFmtId="44" fontId="13" fillId="16" borderId="0" xfId="2" applyFont="1" applyFill="1" applyBorder="1" applyAlignment="1" applyProtection="1">
      <alignment horizontal="center" vertical="center"/>
    </xf>
    <xf numFmtId="0" fontId="13" fillId="0" borderId="0" xfId="0" applyFont="1" applyFill="1" applyBorder="1" applyAlignment="1" applyProtection="1">
      <alignment vertical="top" wrapText="1"/>
    </xf>
    <xf numFmtId="0" fontId="18" fillId="0" borderId="7" xfId="0" applyFont="1" applyFill="1" applyBorder="1" applyAlignment="1" applyProtection="1">
      <alignment vertical="top" wrapText="1"/>
    </xf>
    <xf numFmtId="0" fontId="18" fillId="0" borderId="0" xfId="0" applyFont="1" applyFill="1" applyBorder="1" applyAlignment="1" applyProtection="1">
      <alignment vertical="top" wrapText="1"/>
    </xf>
    <xf numFmtId="0" fontId="18" fillId="0" borderId="0" xfId="0" applyFont="1" applyFill="1" applyBorder="1" applyAlignment="1" applyProtection="1">
      <alignment horizontal="center" vertical="top" wrapText="1"/>
    </xf>
    <xf numFmtId="0" fontId="0" fillId="0" borderId="8" xfId="0" applyFill="1" applyBorder="1" applyProtection="1"/>
    <xf numFmtId="0" fontId="13" fillId="0" borderId="7" xfId="0" applyFont="1" applyFill="1" applyBorder="1" applyAlignment="1" applyProtection="1">
      <alignment horizontal="left" vertical="top"/>
    </xf>
    <xf numFmtId="0" fontId="13" fillId="0" borderId="0" xfId="0" applyFont="1" applyFill="1" applyBorder="1" applyAlignment="1" applyProtection="1">
      <alignment horizontal="left" vertical="top"/>
    </xf>
    <xf numFmtId="0" fontId="18" fillId="0" borderId="7" xfId="0" applyFont="1" applyFill="1" applyBorder="1" applyAlignment="1" applyProtection="1">
      <alignment horizontal="left" vertical="top"/>
    </xf>
    <xf numFmtId="0" fontId="18" fillId="0" borderId="0" xfId="0" applyFont="1" applyFill="1" applyBorder="1" applyAlignment="1" applyProtection="1">
      <alignment horizontal="left" vertical="top"/>
    </xf>
    <xf numFmtId="0" fontId="17" fillId="0" borderId="0" xfId="0" applyFont="1" applyFill="1" applyBorder="1" applyAlignment="1" applyProtection="1">
      <alignment vertical="top" wrapText="1"/>
    </xf>
    <xf numFmtId="169" fontId="13" fillId="0" borderId="0" xfId="0" applyNumberFormat="1" applyFont="1" applyFill="1" applyBorder="1" applyAlignment="1" applyProtection="1">
      <alignment horizontal="center" vertical="center" wrapText="1"/>
    </xf>
    <xf numFmtId="169" fontId="13" fillId="0" borderId="10" xfId="0" applyNumberFormat="1" applyFont="1" applyFill="1" applyBorder="1" applyAlignment="1" applyProtection="1">
      <alignment horizontal="center" vertical="center" wrapText="1"/>
    </xf>
    <xf numFmtId="0" fontId="18" fillId="0" borderId="10" xfId="0" applyFont="1" applyFill="1" applyBorder="1" applyAlignment="1" applyProtection="1">
      <alignment horizontal="center" vertical="top" wrapText="1"/>
    </xf>
    <xf numFmtId="0" fontId="0" fillId="0" borderId="0" xfId="0" applyFill="1" applyBorder="1" applyAlignment="1" applyProtection="1"/>
    <xf numFmtId="0" fontId="0" fillId="0" borderId="0" xfId="0" quotePrefix="1" applyFill="1" applyBorder="1" applyAlignment="1" applyProtection="1"/>
    <xf numFmtId="44" fontId="22" fillId="3" borderId="0" xfId="0" applyNumberFormat="1" applyFont="1" applyFill="1" applyProtection="1"/>
    <xf numFmtId="44" fontId="22" fillId="0" borderId="0" xfId="0" applyNumberFormat="1" applyFont="1" applyFill="1" applyProtection="1"/>
    <xf numFmtId="0" fontId="22" fillId="0" borderId="0" xfId="0" applyFont="1" applyFill="1" applyAlignment="1" applyProtection="1"/>
    <xf numFmtId="0" fontId="30" fillId="0" borderId="0" xfId="0" applyFont="1" applyFill="1" applyAlignment="1" applyProtection="1">
      <alignment horizontal="right"/>
    </xf>
    <xf numFmtId="1" fontId="26" fillId="21" borderId="0" xfId="0" applyNumberFormat="1" applyFont="1" applyFill="1" applyBorder="1" applyAlignment="1" applyProtection="1">
      <alignment horizontal="center" vertical="center"/>
    </xf>
    <xf numFmtId="168" fontId="30" fillId="0" borderId="0" xfId="0" applyNumberFormat="1" applyFont="1" applyFill="1" applyBorder="1" applyAlignment="1" applyProtection="1">
      <alignment horizontal="right" vertical="center"/>
    </xf>
    <xf numFmtId="0" fontId="15" fillId="13" borderId="0" xfId="3" applyFont="1" applyFill="1" applyBorder="1" applyAlignment="1" applyProtection="1">
      <alignment horizontal="center" vertical="center" wrapText="1"/>
    </xf>
    <xf numFmtId="0" fontId="15" fillId="0" borderId="0" xfId="3" applyFont="1" applyFill="1" applyBorder="1" applyAlignment="1" applyProtection="1">
      <alignment vertical="center"/>
    </xf>
    <xf numFmtId="168" fontId="4" fillId="0" borderId="0" xfId="0" applyNumberFormat="1"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15" fillId="0" borderId="10" xfId="3" applyFont="1" applyFill="1" applyBorder="1" applyAlignment="1" applyProtection="1">
      <alignment horizontal="center" vertical="center" wrapText="1"/>
    </xf>
    <xf numFmtId="0" fontId="15" fillId="13" borderId="10" xfId="3" applyFont="1" applyFill="1" applyBorder="1" applyAlignment="1" applyProtection="1">
      <alignment horizontal="center" vertical="center" wrapText="1"/>
    </xf>
    <xf numFmtId="0" fontId="15" fillId="0" borderId="10" xfId="3" applyFont="1" applyFill="1" applyBorder="1" applyAlignment="1" applyProtection="1">
      <alignment vertical="center"/>
    </xf>
    <xf numFmtId="0" fontId="0" fillId="0" borderId="10" xfId="0" applyBorder="1" applyProtection="1"/>
    <xf numFmtId="0" fontId="9" fillId="0" borderId="10" xfId="1" applyNumberFormat="1" applyFont="1" applyFill="1" applyBorder="1" applyAlignment="1" applyProtection="1">
      <alignment vertical="center"/>
    </xf>
    <xf numFmtId="0" fontId="14" fillId="15" borderId="5" xfId="3" applyFont="1" applyFill="1" applyBorder="1" applyAlignment="1" applyProtection="1">
      <alignment horizontal="center" vertical="center"/>
    </xf>
    <xf numFmtId="0" fontId="0" fillId="0" borderId="11" xfId="0" applyBorder="1" applyProtection="1"/>
    <xf numFmtId="0" fontId="23" fillId="10" borderId="20" xfId="5" applyFont="1" applyFill="1" applyBorder="1" applyAlignment="1" applyProtection="1">
      <alignment horizontal="left"/>
    </xf>
    <xf numFmtId="0" fontId="23" fillId="0" borderId="2" xfId="5" applyFont="1" applyFill="1" applyBorder="1" applyAlignment="1" applyProtection="1">
      <alignment horizontal="left"/>
    </xf>
    <xf numFmtId="0" fontId="24" fillId="9" borderId="22" xfId="4" applyFont="1" applyFill="1" applyBorder="1" applyAlignment="1" applyProtection="1">
      <alignment horizontal="center" vertical="center"/>
    </xf>
    <xf numFmtId="0" fontId="24" fillId="0" borderId="22" xfId="4" applyFont="1" applyFill="1" applyBorder="1" applyAlignment="1" applyProtection="1">
      <alignment horizontal="center" vertical="center"/>
    </xf>
    <xf numFmtId="0" fontId="11" fillId="19" borderId="5" xfId="4" applyFont="1" applyFill="1" applyBorder="1" applyAlignment="1" applyProtection="1">
      <alignment horizontal="center" vertical="center"/>
    </xf>
    <xf numFmtId="168" fontId="0" fillId="0" borderId="7" xfId="0" applyNumberFormat="1" applyFill="1" applyBorder="1" applyAlignment="1" applyProtection="1">
      <alignment horizontal="center"/>
    </xf>
    <xf numFmtId="0" fontId="11" fillId="9" borderId="32" xfId="4" applyFont="1" applyFill="1" applyBorder="1" applyAlignment="1" applyProtection="1">
      <alignment horizontal="center" vertical="center"/>
    </xf>
    <xf numFmtId="0" fontId="0" fillId="0" borderId="0" xfId="0" applyFill="1" applyBorder="1" applyAlignment="1" applyProtection="1">
      <alignment horizontal="center"/>
    </xf>
    <xf numFmtId="0" fontId="8" fillId="6" borderId="7" xfId="6" applyFont="1" applyBorder="1" applyAlignment="1" applyProtection="1">
      <alignment vertical="center"/>
    </xf>
    <xf numFmtId="0" fontId="9" fillId="13" borderId="0" xfId="1" applyNumberFormat="1" applyFont="1" applyFill="1" applyBorder="1" applyAlignment="1" applyProtection="1">
      <alignment horizontal="center" vertical="center"/>
    </xf>
    <xf numFmtId="0" fontId="7" fillId="0" borderId="7" xfId="0" applyFont="1" applyBorder="1" applyAlignment="1" applyProtection="1">
      <alignment horizontal="right" vertical="center"/>
    </xf>
    <xf numFmtId="0" fontId="8" fillId="6" borderId="17" xfId="6" applyFont="1" applyBorder="1" applyAlignment="1" applyProtection="1">
      <alignment horizontal="left"/>
    </xf>
    <xf numFmtId="0" fontId="8" fillId="6" borderId="20" xfId="6" applyFont="1" applyBorder="1" applyAlignment="1" applyProtection="1">
      <alignment horizontal="left"/>
    </xf>
    <xf numFmtId="0" fontId="9" fillId="20" borderId="0" xfId="1" applyNumberFormat="1" applyFont="1" applyFill="1" applyBorder="1" applyAlignment="1" applyProtection="1">
      <alignment horizontal="center" vertical="center"/>
    </xf>
    <xf numFmtId="0" fontId="8" fillId="0" borderId="0" xfId="6" applyFont="1" applyFill="1" applyBorder="1" applyAlignment="1" applyProtection="1">
      <alignment horizontal="left"/>
    </xf>
    <xf numFmtId="44" fontId="0" fillId="0" borderId="0" xfId="2" applyFont="1" applyFill="1" applyBorder="1" applyProtection="1"/>
    <xf numFmtId="0" fontId="8" fillId="6" borderId="17" xfId="6" applyFont="1" applyBorder="1" applyAlignment="1" applyProtection="1">
      <alignment vertical="center"/>
    </xf>
    <xf numFmtId="44" fontId="8" fillId="16" borderId="2" xfId="2" applyNumberFormat="1" applyFont="1" applyFill="1" applyBorder="1" applyAlignment="1" applyProtection="1">
      <alignment horizontal="center" vertical="center"/>
    </xf>
    <xf numFmtId="44" fontId="8" fillId="16" borderId="8" xfId="2" applyFont="1" applyFill="1" applyBorder="1" applyAlignment="1" applyProtection="1">
      <alignment horizontal="center" vertical="center"/>
    </xf>
    <xf numFmtId="44" fontId="8" fillId="13" borderId="0" xfId="2" applyFont="1" applyFill="1" applyBorder="1" applyAlignment="1" applyProtection="1">
      <alignment horizontal="center" vertical="center"/>
    </xf>
    <xf numFmtId="168" fontId="0" fillId="0" borderId="0" xfId="0" applyNumberFormat="1" applyFill="1" applyBorder="1" applyAlignment="1" applyProtection="1">
      <alignment horizontal="center"/>
    </xf>
    <xf numFmtId="0" fontId="8" fillId="6" borderId="17" xfId="6" applyFont="1" applyBorder="1" applyAlignment="1" applyProtection="1">
      <alignment horizontal="right"/>
    </xf>
    <xf numFmtId="4" fontId="10" fillId="16" borderId="2" xfId="0" applyNumberFormat="1" applyFont="1" applyFill="1" applyBorder="1" applyAlignment="1" applyProtection="1">
      <alignment horizontal="center" vertical="center"/>
    </xf>
    <xf numFmtId="4" fontId="10" fillId="16" borderId="8" xfId="0" applyNumberFormat="1" applyFont="1" applyFill="1" applyBorder="1" applyAlignment="1" applyProtection="1">
      <alignment horizontal="center" vertical="center"/>
    </xf>
    <xf numFmtId="4" fontId="10" fillId="13" borderId="0" xfId="0" applyNumberFormat="1" applyFont="1" applyFill="1" applyBorder="1" applyAlignment="1" applyProtection="1">
      <alignment horizontal="center" vertical="center"/>
    </xf>
    <xf numFmtId="0" fontId="1" fillId="0" borderId="0" xfId="0" applyFont="1" applyFill="1" applyBorder="1" applyAlignment="1" applyProtection="1"/>
    <xf numFmtId="44" fontId="8" fillId="16" borderId="2" xfId="2" applyFont="1" applyFill="1" applyBorder="1" applyAlignment="1" applyProtection="1">
      <alignment horizontal="center" vertical="center"/>
    </xf>
    <xf numFmtId="44" fontId="2" fillId="0" borderId="0" xfId="2" applyFont="1" applyFill="1" applyBorder="1" applyAlignment="1" applyProtection="1">
      <alignment vertical="center"/>
    </xf>
    <xf numFmtId="0" fontId="8" fillId="6" borderId="7" xfId="6" applyFont="1" applyBorder="1" applyAlignment="1" applyProtection="1">
      <alignment horizontal="right" vertical="center"/>
    </xf>
    <xf numFmtId="4" fontId="8" fillId="16" borderId="2" xfId="0" applyNumberFormat="1" applyFont="1" applyFill="1" applyBorder="1" applyAlignment="1" applyProtection="1">
      <alignment horizontal="center" vertical="center"/>
    </xf>
    <xf numFmtId="4" fontId="8" fillId="16" borderId="8" xfId="0" applyNumberFormat="1" applyFont="1" applyFill="1" applyBorder="1" applyAlignment="1" applyProtection="1">
      <alignment horizontal="center" vertical="center"/>
    </xf>
    <xf numFmtId="4" fontId="8" fillId="13" borderId="0" xfId="0" applyNumberFormat="1" applyFont="1" applyFill="1" applyBorder="1" applyAlignment="1" applyProtection="1">
      <alignment horizontal="center" vertical="center"/>
    </xf>
    <xf numFmtId="4" fontId="8" fillId="16" borderId="11" xfId="0" applyNumberFormat="1" applyFont="1" applyFill="1" applyBorder="1" applyAlignment="1" applyProtection="1">
      <alignment horizontal="center" vertical="center"/>
    </xf>
    <xf numFmtId="0" fontId="8" fillId="6" borderId="4" xfId="6" applyFont="1" applyBorder="1" applyAlignment="1" applyProtection="1">
      <alignment vertical="center"/>
    </xf>
    <xf numFmtId="44" fontId="8" fillId="16" borderId="6" xfId="2" applyFont="1" applyFill="1" applyBorder="1" applyAlignment="1" applyProtection="1">
      <alignment horizontal="center" vertical="center"/>
    </xf>
    <xf numFmtId="44" fontId="8" fillId="13" borderId="5" xfId="2" applyFont="1" applyFill="1" applyBorder="1" applyAlignment="1" applyProtection="1">
      <alignment horizontal="center" vertical="center"/>
    </xf>
    <xf numFmtId="4" fontId="12" fillId="13" borderId="0" xfId="0" applyNumberFormat="1" applyFont="1" applyFill="1" applyBorder="1" applyAlignment="1" applyProtection="1">
      <alignment horizontal="center" vertical="center" textRotation="135"/>
    </xf>
    <xf numFmtId="0" fontId="8" fillId="6" borderId="20" xfId="6" applyFont="1" applyBorder="1" applyAlignment="1" applyProtection="1">
      <alignment vertical="center"/>
    </xf>
    <xf numFmtId="44" fontId="8" fillId="16" borderId="11" xfId="2" applyFont="1" applyFill="1" applyBorder="1" applyAlignment="1" applyProtection="1">
      <alignment horizontal="center" vertical="center"/>
    </xf>
    <xf numFmtId="44" fontId="8" fillId="13" borderId="10" xfId="2" applyFont="1" applyFill="1" applyBorder="1" applyAlignment="1" applyProtection="1">
      <alignment horizontal="center" vertical="center"/>
    </xf>
    <xf numFmtId="0" fontId="8" fillId="6" borderId="23" xfId="6" applyFont="1" applyBorder="1" applyAlignment="1" applyProtection="1">
      <alignment vertical="center"/>
    </xf>
    <xf numFmtId="0" fontId="8" fillId="0" borderId="5" xfId="6" applyFont="1" applyFill="1" applyBorder="1" applyAlignment="1" applyProtection="1">
      <alignment vertical="center"/>
    </xf>
    <xf numFmtId="0" fontId="8" fillId="6" borderId="24" xfId="6" applyFont="1" applyBorder="1" applyAlignment="1" applyProtection="1">
      <alignment horizontal="left"/>
    </xf>
    <xf numFmtId="4" fontId="10" fillId="16" borderId="3" xfId="0" applyNumberFormat="1" applyFont="1" applyFill="1" applyBorder="1" applyAlignment="1" applyProtection="1">
      <alignment horizontal="center" vertical="center"/>
    </xf>
    <xf numFmtId="3" fontId="10" fillId="16" borderId="8" xfId="0" applyNumberFormat="1" applyFont="1" applyFill="1" applyBorder="1" applyAlignment="1" applyProtection="1">
      <alignment horizontal="center" vertical="center"/>
    </xf>
    <xf numFmtId="3" fontId="10" fillId="13" borderId="0" xfId="0" applyNumberFormat="1" applyFont="1" applyFill="1" applyBorder="1" applyAlignment="1" applyProtection="1">
      <alignment horizontal="center" vertical="center"/>
    </xf>
    <xf numFmtId="0" fontId="8" fillId="6" borderId="43" xfId="6" applyFont="1" applyBorder="1" applyAlignment="1" applyProtection="1">
      <alignment horizontal="left"/>
    </xf>
    <xf numFmtId="0" fontId="8" fillId="0" borderId="10" xfId="6" applyFont="1" applyFill="1" applyBorder="1" applyAlignment="1" applyProtection="1">
      <alignment horizontal="left"/>
    </xf>
    <xf numFmtId="4" fontId="10" fillId="16" borderId="16" xfId="0" applyNumberFormat="1" applyFont="1" applyFill="1" applyBorder="1" applyAlignment="1" applyProtection="1">
      <alignment horizontal="center" vertical="center"/>
    </xf>
    <xf numFmtId="3" fontId="10" fillId="16" borderId="11" xfId="0" applyNumberFormat="1" applyFont="1" applyFill="1" applyBorder="1" applyAlignment="1" applyProtection="1">
      <alignment horizontal="center" vertical="center"/>
    </xf>
    <xf numFmtId="0" fontId="0" fillId="0" borderId="0" xfId="0" applyFill="1" applyProtection="1"/>
    <xf numFmtId="167" fontId="0" fillId="0" borderId="0" xfId="0" applyNumberFormat="1" applyFill="1" applyBorder="1" applyAlignment="1" applyProtection="1">
      <alignment horizontal="center"/>
    </xf>
    <xf numFmtId="167" fontId="0" fillId="0" borderId="10" xfId="0" applyNumberFormat="1" applyFill="1" applyBorder="1" applyAlignment="1" applyProtection="1">
      <alignment horizontal="center"/>
    </xf>
    <xf numFmtId="0" fontId="0" fillId="12" borderId="15" xfId="0" applyFill="1" applyBorder="1" applyAlignment="1" applyProtection="1">
      <alignment horizontal="center" vertical="center" wrapText="1"/>
    </xf>
    <xf numFmtId="0" fontId="0" fillId="12" borderId="5" xfId="0" applyFill="1" applyBorder="1" applyAlignment="1" applyProtection="1">
      <alignment horizontal="center" vertical="center" wrapText="1"/>
    </xf>
    <xf numFmtId="0" fontId="0" fillId="13" borderId="5" xfId="0" applyFill="1" applyBorder="1" applyAlignment="1" applyProtection="1">
      <alignment horizontal="center" vertical="center" wrapText="1"/>
    </xf>
    <xf numFmtId="0" fontId="0" fillId="7" borderId="15" xfId="0" applyFont="1" applyFill="1" applyBorder="1" applyAlignment="1" applyProtection="1">
      <alignment horizontal="center" vertical="center" wrapText="1"/>
    </xf>
    <xf numFmtId="0" fontId="0" fillId="7" borderId="6" xfId="0" applyFont="1" applyFill="1" applyBorder="1" applyAlignment="1" applyProtection="1">
      <alignment horizontal="center" vertical="center" wrapText="1"/>
    </xf>
    <xf numFmtId="0" fontId="0" fillId="13" borderId="0" xfId="0" applyFont="1" applyFill="1" applyBorder="1" applyAlignment="1" applyProtection="1">
      <alignment horizontal="center" wrapText="1"/>
    </xf>
    <xf numFmtId="0" fontId="0" fillId="0" borderId="44" xfId="0" applyFont="1" applyBorder="1" applyProtection="1"/>
    <xf numFmtId="0" fontId="1" fillId="0" borderId="45" xfId="0" applyFont="1" applyFill="1" applyBorder="1" applyAlignment="1" applyProtection="1">
      <alignment horizontal="right" vertical="center"/>
    </xf>
    <xf numFmtId="164" fontId="21" fillId="16" borderId="45" xfId="2" applyNumberFormat="1" applyFont="1" applyFill="1" applyBorder="1" applyAlignment="1" applyProtection="1">
      <alignment horizontal="center"/>
    </xf>
    <xf numFmtId="164" fontId="21" fillId="13" borderId="45" xfId="2" applyNumberFormat="1" applyFont="1" applyFill="1" applyBorder="1" applyAlignment="1" applyProtection="1">
      <alignment horizontal="center"/>
    </xf>
    <xf numFmtId="168" fontId="0" fillId="13" borderId="0" xfId="0" applyNumberFormat="1" applyFill="1" applyBorder="1" applyAlignment="1" applyProtection="1">
      <alignment horizontal="center" textRotation="135" wrapText="1"/>
    </xf>
    <xf numFmtId="0" fontId="0" fillId="0" borderId="47" xfId="0" applyFont="1" applyBorder="1" applyProtection="1"/>
    <xf numFmtId="0" fontId="1" fillId="0" borderId="48" xfId="0" applyFont="1" applyFill="1" applyBorder="1" applyAlignment="1" applyProtection="1">
      <alignment horizontal="right" vertical="center"/>
    </xf>
    <xf numFmtId="164" fontId="21" fillId="16" borderId="48" xfId="2" applyNumberFormat="1" applyFont="1" applyFill="1" applyBorder="1" applyAlignment="1" applyProtection="1">
      <alignment horizontal="center"/>
    </xf>
    <xf numFmtId="164" fontId="21" fillId="13" borderId="48" xfId="2" applyNumberFormat="1" applyFont="1" applyFill="1" applyBorder="1" applyAlignment="1" applyProtection="1">
      <alignment horizontal="center"/>
    </xf>
    <xf numFmtId="0" fontId="0" fillId="13" borderId="48" xfId="0" applyFill="1" applyBorder="1" applyAlignment="1" applyProtection="1">
      <alignment horizontal="center" textRotation="115"/>
    </xf>
    <xf numFmtId="164" fontId="21" fillId="16" borderId="49" xfId="2" applyNumberFormat="1" applyFont="1" applyFill="1" applyBorder="1" applyAlignment="1" applyProtection="1">
      <alignment horizontal="center"/>
    </xf>
    <xf numFmtId="164" fontId="21" fillId="13" borderId="0" xfId="2" applyNumberFormat="1" applyFont="1" applyFill="1" applyBorder="1" applyAlignment="1" applyProtection="1">
      <alignment horizontal="center"/>
    </xf>
    <xf numFmtId="0" fontId="1" fillId="0" borderId="47" xfId="0" applyFont="1" applyFill="1" applyBorder="1" applyAlignment="1" applyProtection="1">
      <alignment horizontal="right"/>
    </xf>
    <xf numFmtId="0" fontId="0" fillId="0" borderId="50" xfId="0" applyFont="1" applyBorder="1" applyProtection="1"/>
    <xf numFmtId="0" fontId="1" fillId="0" borderId="51" xfId="0" applyFont="1" applyFill="1" applyBorder="1" applyAlignment="1" applyProtection="1">
      <alignment horizontal="right" vertical="center"/>
    </xf>
    <xf numFmtId="0" fontId="0" fillId="13" borderId="51" xfId="0" applyFill="1" applyBorder="1" applyAlignment="1" applyProtection="1">
      <alignment horizontal="center" textRotation="115"/>
    </xf>
    <xf numFmtId="164" fontId="21" fillId="16" borderId="51" xfId="2" applyNumberFormat="1" applyFont="1" applyFill="1" applyBorder="1" applyAlignment="1" applyProtection="1">
      <alignment horizontal="center"/>
    </xf>
    <xf numFmtId="0" fontId="0" fillId="0" borderId="0" xfId="0" applyFont="1" applyFill="1" applyBorder="1" applyAlignment="1" applyProtection="1">
      <alignment horizontal="right"/>
    </xf>
    <xf numFmtId="0" fontId="4" fillId="0" borderId="0" xfId="0" applyFont="1" applyProtection="1"/>
    <xf numFmtId="0" fontId="0" fillId="16" borderId="0" xfId="0" applyFill="1" applyAlignment="1" applyProtection="1">
      <alignment horizontal="right"/>
    </xf>
    <xf numFmtId="0" fontId="1" fillId="16" borderId="0" xfId="0" applyFont="1" applyFill="1" applyAlignment="1" applyProtection="1">
      <alignment horizontal="right" vertical="center"/>
    </xf>
    <xf numFmtId="0" fontId="4" fillId="0" borderId="0" xfId="0" quotePrefix="1" applyFont="1" applyProtection="1"/>
    <xf numFmtId="0" fontId="0" fillId="0" borderId="0" xfId="0" applyFill="1" applyAlignment="1" applyProtection="1">
      <alignment horizontal="center" vertical="center"/>
    </xf>
    <xf numFmtId="0" fontId="1" fillId="0" borderId="0" xfId="0" applyFont="1" applyFill="1" applyAlignment="1" applyProtection="1">
      <alignment horizontal="center" vertical="center"/>
    </xf>
    <xf numFmtId="0" fontId="4" fillId="0" borderId="0" xfId="0" quotePrefix="1" applyFont="1" applyFill="1" applyProtection="1"/>
    <xf numFmtId="0" fontId="29" fillId="15" borderId="0" xfId="3" applyFont="1" applyFill="1" applyAlignment="1" applyProtection="1">
      <alignment vertical="center"/>
    </xf>
    <xf numFmtId="0" fontId="16" fillId="15" borderId="0" xfId="3" applyFont="1" applyFill="1" applyAlignment="1" applyProtection="1">
      <alignment vertical="center"/>
    </xf>
    <xf numFmtId="0" fontId="1" fillId="3" borderId="0" xfId="0" applyFont="1" applyFill="1" applyAlignment="1" applyProtection="1">
      <alignment horizontal="center" vertical="center"/>
    </xf>
    <xf numFmtId="0" fontId="4" fillId="0" borderId="0" xfId="0" applyFont="1" applyAlignment="1" applyProtection="1">
      <alignment horizontal="right" wrapText="1"/>
    </xf>
    <xf numFmtId="0" fontId="28" fillId="0" borderId="0" xfId="0" applyFont="1" applyProtection="1"/>
    <xf numFmtId="0" fontId="4" fillId="0" borderId="0" xfId="0" applyFont="1" applyBorder="1" applyAlignment="1" applyProtection="1">
      <alignment horizontal="right"/>
    </xf>
    <xf numFmtId="7" fontId="0" fillId="0" borderId="12" xfId="2" applyNumberFormat="1" applyFont="1" applyBorder="1" applyAlignment="1" applyProtection="1">
      <alignment horizontal="center" vertical="center"/>
    </xf>
    <xf numFmtId="7" fontId="0" fillId="0" borderId="13" xfId="2" applyNumberFormat="1" applyFont="1" applyBorder="1" applyAlignment="1" applyProtection="1">
      <alignment horizontal="center" vertical="center"/>
    </xf>
    <xf numFmtId="166" fontId="0" fillId="0" borderId="0" xfId="1" applyNumberFormat="1" applyFont="1" applyProtection="1"/>
    <xf numFmtId="7" fontId="0" fillId="0" borderId="14" xfId="2" applyNumberFormat="1" applyFont="1" applyBorder="1" applyAlignment="1" applyProtection="1">
      <alignment horizontal="center" vertical="center"/>
    </xf>
    <xf numFmtId="44" fontId="1" fillId="0" borderId="0" xfId="2" applyFont="1" applyAlignment="1" applyProtection="1">
      <alignment horizontal="right"/>
    </xf>
    <xf numFmtId="0" fontId="4" fillId="0" borderId="0" xfId="0" applyFont="1" applyAlignment="1" applyProtection="1">
      <alignment horizontal="right"/>
    </xf>
    <xf numFmtId="169" fontId="0" fillId="0" borderId="0" xfId="0" applyNumberFormat="1" applyAlignment="1" applyProtection="1">
      <alignment horizontal="center" vertical="center"/>
    </xf>
    <xf numFmtId="44" fontId="4" fillId="0" borderId="0" xfId="2" applyFont="1" applyAlignment="1" applyProtection="1">
      <alignment horizontal="right"/>
    </xf>
    <xf numFmtId="169" fontId="0" fillId="0" borderId="0" xfId="1" applyNumberFormat="1" applyFont="1" applyAlignment="1" applyProtection="1">
      <alignment horizontal="center" vertical="center"/>
    </xf>
    <xf numFmtId="0" fontId="13" fillId="3" borderId="0" xfId="0" applyFont="1" applyFill="1" applyProtection="1"/>
    <xf numFmtId="44" fontId="0" fillId="3" borderId="0" xfId="0" applyNumberFormat="1" applyFill="1" applyProtection="1"/>
    <xf numFmtId="0" fontId="0" fillId="3" borderId="0" xfId="0" applyFill="1" applyProtection="1"/>
    <xf numFmtId="0" fontId="1" fillId="0" borderId="0" xfId="0" applyFont="1" applyAlignment="1" applyProtection="1"/>
    <xf numFmtId="0" fontId="0" fillId="0" borderId="0" xfId="0" applyAlignment="1" applyProtection="1">
      <alignment horizontal="left"/>
    </xf>
    <xf numFmtId="0" fontId="1" fillId="0" borderId="0" xfId="0" applyFont="1" applyAlignment="1" applyProtection="1">
      <alignment horizontal="left"/>
    </xf>
    <xf numFmtId="1" fontId="26" fillId="21" borderId="0" xfId="0" applyNumberFormat="1" applyFont="1" applyFill="1" applyBorder="1" applyAlignment="1" applyProtection="1">
      <alignment horizontal="right" vertical="center"/>
    </xf>
    <xf numFmtId="0" fontId="4" fillId="0" borderId="0" xfId="0" applyFont="1" applyAlignment="1" applyProtection="1">
      <alignment horizontal="center" wrapText="1"/>
    </xf>
    <xf numFmtId="165" fontId="0" fillId="16" borderId="0" xfId="0" applyNumberFormat="1" applyFill="1" applyAlignment="1" applyProtection="1">
      <alignment horizontal="center"/>
    </xf>
    <xf numFmtId="44" fontId="4" fillId="0" borderId="0" xfId="2" applyFont="1" applyProtection="1"/>
    <xf numFmtId="165" fontId="0" fillId="16" borderId="0" xfId="2" applyNumberFormat="1" applyFont="1" applyFill="1" applyAlignment="1" applyProtection="1">
      <alignment horizontal="center"/>
    </xf>
    <xf numFmtId="9" fontId="4" fillId="0" borderId="5" xfId="0" applyNumberFormat="1" applyFont="1" applyBorder="1" applyAlignment="1" applyProtection="1">
      <alignment horizontal="center"/>
    </xf>
    <xf numFmtId="165" fontId="0" fillId="0" borderId="0" xfId="2" applyNumberFormat="1" applyFont="1" applyProtection="1"/>
    <xf numFmtId="44" fontId="7" fillId="0" borderId="5" xfId="2" applyFont="1" applyBorder="1" applyProtection="1"/>
    <xf numFmtId="166" fontId="0" fillId="0" borderId="5" xfId="1" applyNumberFormat="1" applyFont="1" applyBorder="1" applyProtection="1"/>
    <xf numFmtId="9" fontId="4" fillId="0" borderId="0" xfId="0" applyNumberFormat="1" applyFont="1" applyBorder="1" applyAlignment="1" applyProtection="1">
      <alignment horizontal="center"/>
    </xf>
    <xf numFmtId="44" fontId="7" fillId="0" borderId="0" xfId="2" applyFont="1" applyBorder="1" applyProtection="1"/>
    <xf numFmtId="166" fontId="0" fillId="0" borderId="0" xfId="1" applyNumberFormat="1" applyFont="1" applyBorder="1" applyProtection="1"/>
    <xf numFmtId="9" fontId="4" fillId="0" borderId="10" xfId="0" applyNumberFormat="1" applyFont="1" applyBorder="1" applyAlignment="1" applyProtection="1">
      <alignment horizontal="center"/>
    </xf>
    <xf numFmtId="44" fontId="0" fillId="0" borderId="0" xfId="0" applyNumberFormat="1" applyProtection="1"/>
    <xf numFmtId="44" fontId="7" fillId="0" borderId="10" xfId="2" applyFont="1" applyBorder="1" applyProtection="1"/>
    <xf numFmtId="166" fontId="0" fillId="0" borderId="10" xfId="1" applyNumberFormat="1" applyFont="1" applyBorder="1" applyProtection="1"/>
    <xf numFmtId="0" fontId="1" fillId="0" borderId="0" xfId="0" applyFont="1" applyAlignment="1" applyProtection="1">
      <alignment horizontal="right"/>
    </xf>
    <xf numFmtId="165" fontId="0" fillId="16" borderId="0" xfId="0" applyNumberFormat="1" applyFill="1" applyProtection="1"/>
    <xf numFmtId="165" fontId="0" fillId="16" borderId="0" xfId="2" applyNumberFormat="1" applyFont="1" applyFill="1" applyProtection="1"/>
    <xf numFmtId="9" fontId="0" fillId="0" borderId="5" xfId="0" applyNumberFormat="1" applyBorder="1" applyProtection="1"/>
    <xf numFmtId="9" fontId="0" fillId="0" borderId="0" xfId="0" applyNumberFormat="1" applyBorder="1" applyProtection="1"/>
    <xf numFmtId="9" fontId="0" fillId="0" borderId="10" xfId="0" applyNumberFormat="1" applyBorder="1" applyProtection="1"/>
    <xf numFmtId="1" fontId="0" fillId="2" borderId="0" xfId="1" applyNumberFormat="1" applyFont="1" applyFill="1" applyAlignment="1" applyProtection="1">
      <alignment horizontal="center" vertical="center"/>
      <protection locked="0"/>
    </xf>
    <xf numFmtId="1" fontId="0" fillId="2" borderId="0" xfId="0" applyNumberFormat="1" applyFill="1" applyAlignment="1" applyProtection="1">
      <alignment horizontal="center" vertical="center"/>
      <protection locked="0"/>
    </xf>
    <xf numFmtId="0" fontId="1" fillId="2" borderId="0" xfId="0" applyFont="1" applyFill="1" applyAlignment="1" applyProtection="1">
      <alignment horizontal="center"/>
      <protection locked="0"/>
    </xf>
    <xf numFmtId="0" fontId="1" fillId="16" borderId="0" xfId="0" applyFont="1" applyFill="1" applyAlignment="1" applyProtection="1">
      <alignment horizontal="center"/>
    </xf>
    <xf numFmtId="164" fontId="34" fillId="18" borderId="48" xfId="2" applyNumberFormat="1" applyFont="1" applyFill="1" applyBorder="1" applyAlignment="1" applyProtection="1">
      <alignment horizontal="center" wrapText="1"/>
    </xf>
    <xf numFmtId="169" fontId="13" fillId="16" borderId="0" xfId="2" applyNumberFormat="1" applyFont="1" applyFill="1" applyBorder="1" applyAlignment="1" applyProtection="1">
      <alignment horizontal="center" vertical="center"/>
    </xf>
    <xf numFmtId="0" fontId="20" fillId="0" borderId="0" xfId="0" applyFont="1" applyAlignment="1">
      <alignment horizontal="left" vertical="top"/>
    </xf>
    <xf numFmtId="0" fontId="0" fillId="0" borderId="0" xfId="0" applyAlignment="1">
      <alignment horizontal="left" vertical="top" wrapText="1"/>
    </xf>
    <xf numFmtId="44" fontId="22" fillId="3" borderId="0" xfId="0" applyNumberFormat="1" applyFont="1" applyFill="1" applyBorder="1" applyAlignment="1" applyProtection="1">
      <alignment horizontal="center"/>
    </xf>
    <xf numFmtId="44" fontId="22" fillId="3" borderId="2" xfId="0" applyNumberFormat="1" applyFont="1" applyFill="1" applyBorder="1" applyAlignment="1" applyProtection="1">
      <alignment horizontal="center"/>
    </xf>
    <xf numFmtId="0" fontId="13" fillId="0" borderId="0" xfId="0" applyFont="1" applyFill="1" applyBorder="1" applyAlignment="1" applyProtection="1">
      <alignment horizontal="center" vertical="top" wrapText="1"/>
    </xf>
    <xf numFmtId="0" fontId="13" fillId="0" borderId="8" xfId="0" applyFont="1" applyFill="1" applyBorder="1" applyAlignment="1" applyProtection="1">
      <alignment horizontal="center" vertical="top" wrapText="1"/>
    </xf>
    <xf numFmtId="0" fontId="13" fillId="0" borderId="7" xfId="0" applyFont="1" applyFill="1" applyBorder="1" applyAlignment="1" applyProtection="1">
      <alignment horizontal="right" vertical="center" wrapText="1"/>
    </xf>
    <xf numFmtId="0" fontId="13" fillId="0" borderId="0" xfId="0" applyFont="1" applyFill="1" applyBorder="1" applyAlignment="1" applyProtection="1">
      <alignment horizontal="right" vertical="center" wrapText="1"/>
    </xf>
    <xf numFmtId="0" fontId="13" fillId="0" borderId="9" xfId="0" applyFont="1" applyFill="1" applyBorder="1" applyAlignment="1" applyProtection="1">
      <alignment horizontal="right" vertical="center" wrapText="1"/>
    </xf>
    <xf numFmtId="0" fontId="13" fillId="0" borderId="10" xfId="0" applyFont="1" applyFill="1" applyBorder="1" applyAlignment="1" applyProtection="1">
      <alignment horizontal="right" vertical="center" wrapText="1"/>
    </xf>
    <xf numFmtId="0" fontId="25" fillId="14" borderId="4" xfId="0" applyFont="1" applyFill="1" applyBorder="1" applyAlignment="1" applyProtection="1">
      <alignment horizontal="center" vertical="center"/>
    </xf>
    <xf numFmtId="0" fontId="25" fillId="14" borderId="6" xfId="0" applyFont="1" applyFill="1" applyBorder="1" applyAlignment="1" applyProtection="1">
      <alignment horizontal="center" vertical="center"/>
    </xf>
    <xf numFmtId="169" fontId="13" fillId="16" borderId="0" xfId="2" applyNumberFormat="1" applyFont="1" applyFill="1" applyBorder="1" applyAlignment="1" applyProtection="1">
      <alignment horizontal="center" vertical="center"/>
    </xf>
    <xf numFmtId="169" fontId="13" fillId="16" borderId="10" xfId="2" applyNumberFormat="1" applyFont="1" applyFill="1" applyBorder="1" applyAlignment="1" applyProtection="1">
      <alignment horizontal="center" vertical="center"/>
    </xf>
    <xf numFmtId="169" fontId="13" fillId="16" borderId="0" xfId="0" applyNumberFormat="1" applyFont="1" applyFill="1" applyBorder="1" applyAlignment="1" applyProtection="1">
      <alignment horizontal="center" vertical="center" wrapText="1"/>
    </xf>
    <xf numFmtId="169" fontId="13" fillId="16" borderId="10" xfId="0" applyNumberFormat="1" applyFont="1" applyFill="1" applyBorder="1" applyAlignment="1" applyProtection="1">
      <alignment horizontal="center" vertical="center" wrapText="1"/>
    </xf>
    <xf numFmtId="0" fontId="17" fillId="12" borderId="0" xfId="0" applyFont="1" applyFill="1" applyBorder="1" applyAlignment="1" applyProtection="1">
      <alignment horizontal="center" wrapText="1"/>
    </xf>
    <xf numFmtId="0" fontId="17" fillId="7" borderId="0" xfId="0" applyFont="1" applyFill="1" applyBorder="1" applyAlignment="1" applyProtection="1">
      <alignment horizontal="center" wrapText="1"/>
    </xf>
    <xf numFmtId="0" fontId="17" fillId="7" borderId="0" xfId="0" applyFont="1" applyFill="1" applyBorder="1" applyAlignment="1" applyProtection="1">
      <alignment horizontal="center"/>
    </xf>
    <xf numFmtId="0" fontId="17" fillId="14" borderId="0" xfId="0" applyFont="1" applyFill="1" applyBorder="1" applyAlignment="1" applyProtection="1">
      <alignment horizontal="center" wrapText="1"/>
    </xf>
    <xf numFmtId="0" fontId="17" fillId="14" borderId="8" xfId="0" applyFont="1" applyFill="1" applyBorder="1" applyAlignment="1" applyProtection="1">
      <alignment horizontal="center" wrapText="1"/>
    </xf>
    <xf numFmtId="169" fontId="13" fillId="16" borderId="8" xfId="2" applyNumberFormat="1" applyFont="1" applyFill="1" applyBorder="1" applyAlignment="1" applyProtection="1">
      <alignment horizontal="center" vertical="center"/>
    </xf>
    <xf numFmtId="0" fontId="1" fillId="0" borderId="4" xfId="0" applyFont="1" applyBorder="1" applyAlignment="1" applyProtection="1">
      <alignment horizontal="center" vertical="center" textRotation="90"/>
    </xf>
    <xf numFmtId="0" fontId="1" fillId="0" borderId="7" xfId="0" applyFont="1" applyBorder="1" applyAlignment="1" applyProtection="1">
      <alignment horizontal="center" vertical="center" textRotation="90"/>
    </xf>
    <xf numFmtId="0" fontId="1" fillId="0" borderId="9" xfId="0" applyFont="1" applyBorder="1" applyAlignment="1" applyProtection="1">
      <alignment horizontal="center" vertical="center" textRotation="90"/>
    </xf>
    <xf numFmtId="0" fontId="9" fillId="2" borderId="27" xfId="1" applyNumberFormat="1" applyFont="1" applyFill="1" applyBorder="1" applyAlignment="1" applyProtection="1">
      <alignment horizontal="center" vertical="center"/>
      <protection locked="0"/>
    </xf>
    <xf numFmtId="0" fontId="9" fillId="2" borderId="28" xfId="1" applyNumberFormat="1" applyFont="1" applyFill="1" applyBorder="1" applyAlignment="1" applyProtection="1">
      <alignment horizontal="center" vertical="center"/>
      <protection locked="0"/>
    </xf>
    <xf numFmtId="0" fontId="9" fillId="2" borderId="29" xfId="1" applyNumberFormat="1" applyFont="1" applyFill="1" applyBorder="1" applyAlignment="1" applyProtection="1">
      <alignment horizontal="center" vertical="center"/>
      <protection locked="0"/>
    </xf>
    <xf numFmtId="4" fontId="12" fillId="17" borderId="15" xfId="0" applyNumberFormat="1" applyFont="1" applyFill="1" applyBorder="1" applyAlignment="1" applyProtection="1">
      <alignment horizontal="center" vertical="center" textRotation="135"/>
    </xf>
    <xf numFmtId="4" fontId="12" fillId="17" borderId="6" xfId="0" applyNumberFormat="1" applyFont="1" applyFill="1" applyBorder="1" applyAlignment="1" applyProtection="1">
      <alignment horizontal="center" vertical="center" textRotation="135"/>
    </xf>
    <xf numFmtId="4" fontId="12" fillId="17" borderId="3" xfId="0" applyNumberFormat="1" applyFont="1" applyFill="1" applyBorder="1" applyAlignment="1" applyProtection="1">
      <alignment horizontal="center" vertical="center" textRotation="135"/>
    </xf>
    <xf numFmtId="4" fontId="12" fillId="17" borderId="8" xfId="0" applyNumberFormat="1" applyFont="1" applyFill="1" applyBorder="1" applyAlignment="1" applyProtection="1">
      <alignment horizontal="center" vertical="center" textRotation="135"/>
    </xf>
    <xf numFmtId="4" fontId="12" fillId="17" borderId="16" xfId="0" applyNumberFormat="1" applyFont="1" applyFill="1" applyBorder="1" applyAlignment="1" applyProtection="1">
      <alignment horizontal="center" vertical="center" textRotation="135"/>
    </xf>
    <xf numFmtId="4" fontId="12" fillId="17" borderId="11" xfId="0" applyNumberFormat="1" applyFont="1" applyFill="1" applyBorder="1" applyAlignment="1" applyProtection="1">
      <alignment horizontal="center" vertical="center" textRotation="135"/>
    </xf>
    <xf numFmtId="0" fontId="25" fillId="12" borderId="4" xfId="0" applyFont="1" applyFill="1" applyBorder="1" applyAlignment="1" applyProtection="1">
      <alignment horizontal="center" vertical="center" wrapText="1"/>
    </xf>
    <xf numFmtId="0" fontId="25" fillId="12" borderId="6" xfId="0" applyFont="1" applyFill="1" applyBorder="1" applyAlignment="1" applyProtection="1">
      <alignment horizontal="center" vertical="center" wrapText="1"/>
    </xf>
    <xf numFmtId="0" fontId="1" fillId="0" borderId="23" xfId="0" applyFont="1" applyBorder="1" applyAlignment="1" applyProtection="1">
      <alignment horizontal="center" vertical="center" textRotation="90"/>
    </xf>
    <xf numFmtId="0" fontId="1" fillId="0" borderId="24" xfId="0" applyFont="1" applyBorder="1" applyAlignment="1" applyProtection="1">
      <alignment horizontal="center" vertical="center" textRotation="90"/>
    </xf>
    <xf numFmtId="4" fontId="12" fillId="17" borderId="15" xfId="0" applyNumberFormat="1" applyFont="1" applyFill="1" applyBorder="1" applyAlignment="1" applyProtection="1">
      <alignment horizontal="center" vertical="center" textRotation="133"/>
    </xf>
    <xf numFmtId="4" fontId="12" fillId="17" borderId="19" xfId="0" applyNumberFormat="1" applyFont="1" applyFill="1" applyBorder="1" applyAlignment="1" applyProtection="1">
      <alignment horizontal="center" vertical="center" textRotation="133"/>
    </xf>
    <xf numFmtId="4" fontId="12" fillId="17" borderId="3" xfId="0" applyNumberFormat="1" applyFont="1" applyFill="1" applyBorder="1" applyAlignment="1" applyProtection="1">
      <alignment horizontal="center" vertical="center" textRotation="133"/>
    </xf>
    <xf numFmtId="4" fontId="12" fillId="17" borderId="2" xfId="0" applyNumberFormat="1" applyFont="1" applyFill="1" applyBorder="1" applyAlignment="1" applyProtection="1">
      <alignment horizontal="center" vertical="center" textRotation="133"/>
    </xf>
    <xf numFmtId="4" fontId="12" fillId="17" borderId="16" xfId="0" applyNumberFormat="1" applyFont="1" applyFill="1" applyBorder="1" applyAlignment="1" applyProtection="1">
      <alignment horizontal="center" vertical="center" textRotation="133"/>
    </xf>
    <xf numFmtId="4" fontId="12" fillId="17" borderId="18" xfId="0" applyNumberFormat="1" applyFont="1" applyFill="1" applyBorder="1" applyAlignment="1" applyProtection="1">
      <alignment horizontal="center" vertical="center" textRotation="133"/>
    </xf>
    <xf numFmtId="0" fontId="9" fillId="2" borderId="0" xfId="1" applyNumberFormat="1" applyFont="1" applyFill="1" applyBorder="1" applyAlignment="1" applyProtection="1">
      <alignment horizontal="center" vertical="center"/>
      <protection locked="0"/>
    </xf>
    <xf numFmtId="0" fontId="14" fillId="7" borderId="30" xfId="3" applyFont="1" applyFill="1" applyBorder="1" applyAlignment="1" applyProtection="1">
      <alignment horizontal="center" vertical="center" wrapText="1"/>
    </xf>
    <xf numFmtId="0" fontId="14" fillId="7" borderId="31" xfId="3" applyFont="1" applyFill="1" applyBorder="1" applyAlignment="1" applyProtection="1">
      <alignment horizontal="center" vertical="center" wrapText="1"/>
    </xf>
    <xf numFmtId="0" fontId="14" fillId="12" borderId="21" xfId="3" applyFont="1" applyFill="1" applyBorder="1" applyAlignment="1" applyProtection="1">
      <alignment horizontal="center" vertical="center" wrapText="1"/>
    </xf>
    <xf numFmtId="0" fontId="14" fillId="12" borderId="31" xfId="3" applyFont="1" applyFill="1" applyBorder="1" applyAlignment="1" applyProtection="1">
      <alignment horizontal="center" vertical="center" wrapText="1"/>
    </xf>
    <xf numFmtId="0" fontId="13" fillId="0" borderId="7" xfId="0" applyFont="1" applyFill="1" applyBorder="1" applyAlignment="1" applyProtection="1">
      <alignment horizontal="right" wrapText="1"/>
    </xf>
    <xf numFmtId="0" fontId="13" fillId="0" borderId="0" xfId="0" applyFont="1" applyFill="1" applyBorder="1" applyAlignment="1" applyProtection="1">
      <alignment horizontal="right" wrapText="1"/>
    </xf>
    <xf numFmtId="0" fontId="18" fillId="0" borderId="0" xfId="0" applyFont="1" applyFill="1" applyBorder="1" applyAlignment="1" applyProtection="1">
      <alignment horizontal="left" vertical="top" wrapText="1"/>
    </xf>
    <xf numFmtId="0" fontId="18" fillId="0" borderId="8" xfId="0" applyFont="1" applyFill="1" applyBorder="1" applyAlignment="1" applyProtection="1">
      <alignment horizontal="left" vertical="top" wrapText="1"/>
    </xf>
    <xf numFmtId="0" fontId="18" fillId="0" borderId="10" xfId="0" applyFont="1" applyFill="1" applyBorder="1" applyAlignment="1" applyProtection="1">
      <alignment horizontal="left" vertical="top" wrapText="1"/>
    </xf>
    <xf numFmtId="0" fontId="18" fillId="0" borderId="11" xfId="0" applyFont="1" applyFill="1" applyBorder="1" applyAlignment="1" applyProtection="1">
      <alignment horizontal="left" vertical="top" wrapText="1"/>
    </xf>
    <xf numFmtId="168" fontId="32" fillId="17" borderId="45" xfId="0" applyNumberFormat="1" applyFont="1" applyFill="1" applyBorder="1" applyAlignment="1" applyProtection="1">
      <alignment horizontal="center" vertical="center" textRotation="135" wrapText="1"/>
    </xf>
    <xf numFmtId="168" fontId="32" fillId="17" borderId="46" xfId="0" applyNumberFormat="1" applyFont="1" applyFill="1" applyBorder="1" applyAlignment="1" applyProtection="1">
      <alignment horizontal="center" vertical="center" textRotation="135" wrapText="1"/>
    </xf>
    <xf numFmtId="168" fontId="32" fillId="17" borderId="48" xfId="0" applyNumberFormat="1" applyFont="1" applyFill="1" applyBorder="1" applyAlignment="1" applyProtection="1">
      <alignment horizontal="center" vertical="center" textRotation="135" wrapText="1"/>
    </xf>
    <xf numFmtId="168" fontId="32" fillId="17" borderId="49" xfId="0" applyNumberFormat="1" applyFont="1" applyFill="1" applyBorder="1" applyAlignment="1" applyProtection="1">
      <alignment horizontal="center" vertical="center" textRotation="135" wrapText="1"/>
    </xf>
    <xf numFmtId="0" fontId="32" fillId="17" borderId="48" xfId="0" applyFont="1" applyFill="1" applyBorder="1" applyAlignment="1" applyProtection="1">
      <alignment horizontal="center" vertical="center" textRotation="115"/>
    </xf>
    <xf numFmtId="0" fontId="32" fillId="17" borderId="51" xfId="0" applyFont="1" applyFill="1" applyBorder="1" applyAlignment="1" applyProtection="1">
      <alignment horizontal="center" vertical="center" textRotation="115"/>
    </xf>
    <xf numFmtId="0" fontId="33" fillId="15" borderId="0" xfId="3" applyFont="1" applyFill="1" applyBorder="1" applyAlignment="1" applyProtection="1">
      <alignment horizontal="center" vertical="center" wrapText="1"/>
    </xf>
    <xf numFmtId="0" fontId="15" fillId="15" borderId="0" xfId="3" applyFont="1" applyFill="1" applyBorder="1" applyAlignment="1" applyProtection="1">
      <alignment horizontal="center" vertical="center" wrapText="1"/>
    </xf>
    <xf numFmtId="0" fontId="20" fillId="15" borderId="4" xfId="0" applyFont="1" applyFill="1" applyBorder="1" applyAlignment="1" applyProtection="1">
      <alignment horizontal="center"/>
    </xf>
    <xf numFmtId="0" fontId="20" fillId="15" borderId="5" xfId="0" applyFont="1" applyFill="1" applyBorder="1" applyAlignment="1" applyProtection="1">
      <alignment horizontal="center"/>
    </xf>
    <xf numFmtId="0" fontId="20" fillId="15" borderId="6" xfId="0" applyFont="1" applyFill="1" applyBorder="1" applyAlignment="1" applyProtection="1">
      <alignment horizontal="center"/>
    </xf>
    <xf numFmtId="0" fontId="30" fillId="0" borderId="0" xfId="0" applyFont="1" applyAlignment="1" applyProtection="1">
      <alignment horizontal="left" vertical="center" wrapText="1"/>
    </xf>
    <xf numFmtId="0" fontId="28" fillId="0" borderId="0" xfId="0" applyFont="1" applyAlignment="1" applyProtection="1">
      <alignment horizontal="left"/>
    </xf>
    <xf numFmtId="0" fontId="0" fillId="0" borderId="0" xfId="0" applyAlignment="1" applyProtection="1">
      <alignment horizontal="left" vertical="top" wrapText="1"/>
    </xf>
    <xf numFmtId="0" fontId="0" fillId="0" borderId="0" xfId="0" applyAlignment="1" applyProtection="1">
      <alignment horizontal="left" wrapText="1"/>
    </xf>
    <xf numFmtId="0" fontId="0" fillId="0" borderId="0" xfId="0" quotePrefix="1" applyAlignment="1" applyProtection="1">
      <alignment horizontal="left" vertical="center" wrapText="1"/>
    </xf>
    <xf numFmtId="0" fontId="1" fillId="2" borderId="27"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3" borderId="0" xfId="0" applyFont="1" applyFill="1" applyAlignment="1" applyProtection="1">
      <alignment horizontal="center"/>
    </xf>
    <xf numFmtId="0" fontId="16" fillId="15" borderId="0" xfId="3" applyFont="1" applyFill="1" applyAlignment="1" applyProtection="1">
      <alignment horizontal="center" vertical="center"/>
    </xf>
    <xf numFmtId="0" fontId="27" fillId="0" borderId="5" xfId="0" applyFont="1" applyBorder="1" applyAlignment="1" applyProtection="1">
      <alignment horizontal="right" vertical="center" textRotation="90" wrapText="1"/>
    </xf>
    <xf numFmtId="0" fontId="27" fillId="0" borderId="0" xfId="0" applyFont="1" applyBorder="1" applyAlignment="1" applyProtection="1">
      <alignment horizontal="right" vertical="center" textRotation="90" wrapText="1"/>
    </xf>
    <xf numFmtId="0" fontId="27" fillId="0" borderId="10" xfId="0" applyFont="1" applyBorder="1" applyAlignment="1" applyProtection="1">
      <alignment horizontal="right" vertical="center" textRotation="90" wrapText="1"/>
    </xf>
    <xf numFmtId="0" fontId="0" fillId="0" borderId="5" xfId="0" applyBorder="1" applyAlignment="1" applyProtection="1">
      <alignment horizontal="right" vertical="center" textRotation="90"/>
    </xf>
    <xf numFmtId="0" fontId="0" fillId="0" borderId="0" xfId="0" applyBorder="1" applyAlignment="1" applyProtection="1">
      <alignment horizontal="right" vertical="center" textRotation="90"/>
    </xf>
    <xf numFmtId="0" fontId="0" fillId="0" borderId="10" xfId="0" applyBorder="1" applyAlignment="1" applyProtection="1">
      <alignment horizontal="right" vertical="center" textRotation="90"/>
    </xf>
    <xf numFmtId="0" fontId="0" fillId="0" borderId="5" xfId="0" applyBorder="1" applyAlignment="1" applyProtection="1">
      <alignment horizontal="center" vertical="center" textRotation="90"/>
    </xf>
    <xf numFmtId="0" fontId="0" fillId="0" borderId="0" xfId="0" applyBorder="1" applyAlignment="1" applyProtection="1">
      <alignment horizontal="center" vertical="center" textRotation="90"/>
    </xf>
    <xf numFmtId="0" fontId="0" fillId="0" borderId="10" xfId="0" applyBorder="1" applyAlignment="1" applyProtection="1">
      <alignment horizontal="center" vertical="center" textRotation="90"/>
    </xf>
  </cellXfs>
  <cellStyles count="9">
    <cellStyle name="20% - Accent3" xfId="6" builtinId="38"/>
    <cellStyle name="60% - Accent2" xfId="4" builtinId="36"/>
    <cellStyle name="Accent3" xfId="5" builtinId="37"/>
    <cellStyle name="Comma" xfId="1" builtinId="3"/>
    <cellStyle name="Currency" xfId="2" builtinId="4"/>
    <cellStyle name="Hyperlink" xfId="8" builtinId="8"/>
    <cellStyle name="Normal" xfId="0" builtinId="0"/>
    <cellStyle name="Percent" xfId="7" builtinId="5"/>
    <cellStyle name="Title" xfId="3" builtinId="15"/>
  </cellStyles>
  <dxfs count="4">
    <dxf>
      <fill>
        <patternFill>
          <bgColor theme="0"/>
        </patternFill>
      </fill>
    </dxf>
    <dxf>
      <numFmt numFmtId="170" formatCode=";;;"/>
    </dxf>
    <dxf>
      <numFmt numFmtId="170" formatCode=";;;"/>
    </dxf>
    <dxf>
      <numFmt numFmtId="170" formatCode=";;;"/>
    </dxf>
  </dxfs>
  <tableStyles count="0" defaultTableStyle="TableStyleMedium2" defaultPivotStyle="PivotStyleLight16"/>
  <colors>
    <mruColors>
      <color rgb="FFCC99FF"/>
      <color rgb="FF00FFFF"/>
      <color rgb="FFFF7C80"/>
      <color rgb="FFFF79A6"/>
      <color rgb="FFFF3377"/>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nathan.slason@rsginc.com?subject=Distribution%20Cost%20Analysis%20Tool" TargetMode="External"/><Relationship Id="rId1" Type="http://schemas.openxmlformats.org/officeDocument/2006/relationships/hyperlink" Target="mailto:rosalie.wilson@earthlink.net?subject=Distribution%20Financial%20Analysis%20Tool%20Assist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1"/>
  <sheetViews>
    <sheetView workbookViewId="0">
      <selection activeCell="A6" sqref="A6:F6"/>
    </sheetView>
  </sheetViews>
  <sheetFormatPr defaultRowHeight="15" x14ac:dyDescent="0.25"/>
  <cols>
    <col min="1" max="1" width="4.85546875" customWidth="1"/>
    <col min="2" max="2" width="5.5703125" customWidth="1"/>
    <col min="3" max="3" width="60.28515625" customWidth="1"/>
    <col min="4" max="4" width="25" customWidth="1"/>
    <col min="5" max="5" width="55.7109375" customWidth="1"/>
    <col min="6" max="6" width="72.28515625" customWidth="1"/>
    <col min="7" max="7" width="6.7109375" customWidth="1"/>
    <col min="8" max="9" width="72.28515625" customWidth="1"/>
  </cols>
  <sheetData>
    <row r="1" spans="1:7" ht="23.25" x14ac:dyDescent="0.25">
      <c r="A1" s="20" t="s">
        <v>0</v>
      </c>
      <c r="D1" s="20"/>
    </row>
    <row r="2" spans="1:7" ht="15.6" customHeight="1" x14ac:dyDescent="0.25">
      <c r="A2" s="65" t="s">
        <v>1</v>
      </c>
      <c r="B2" s="65"/>
      <c r="C2" s="65"/>
      <c r="D2" s="65"/>
      <c r="E2" s="65"/>
      <c r="F2" s="69"/>
    </row>
    <row r="3" spans="1:7" ht="15.95" customHeight="1" x14ac:dyDescent="0.25">
      <c r="A3" s="247" t="s">
        <v>2</v>
      </c>
      <c r="B3" s="247"/>
      <c r="C3" s="247"/>
      <c r="D3" s="247"/>
      <c r="E3" s="247"/>
      <c r="F3" s="247"/>
    </row>
    <row r="4" spans="1:7" ht="18" customHeight="1" x14ac:dyDescent="0.25">
      <c r="A4" s="65" t="s">
        <v>3</v>
      </c>
      <c r="B4" s="65"/>
      <c r="C4" s="65"/>
      <c r="D4" s="65"/>
      <c r="E4" s="65"/>
    </row>
    <row r="5" spans="1:7" ht="29.45" customHeight="1" x14ac:dyDescent="0.25">
      <c r="A5" s="247" t="s">
        <v>4</v>
      </c>
      <c r="B5" s="247"/>
      <c r="C5" s="247"/>
      <c r="D5" s="247"/>
      <c r="E5" s="247"/>
      <c r="F5" s="247"/>
    </row>
    <row r="6" spans="1:7" ht="32.1" customHeight="1" x14ac:dyDescent="0.25">
      <c r="A6" s="247" t="s">
        <v>5</v>
      </c>
      <c r="B6" s="247"/>
      <c r="C6" s="247"/>
      <c r="D6" s="247"/>
      <c r="E6" s="247"/>
      <c r="F6" s="247"/>
    </row>
    <row r="7" spans="1:7" x14ac:dyDescent="0.25">
      <c r="A7" s="21"/>
    </row>
    <row r="8" spans="1:7" ht="23.25" x14ac:dyDescent="0.25">
      <c r="A8" s="246" t="s">
        <v>6</v>
      </c>
      <c r="B8" s="246"/>
      <c r="C8" s="246"/>
      <c r="D8" s="246"/>
      <c r="E8" s="246"/>
    </row>
    <row r="9" spans="1:7" ht="21" x14ac:dyDescent="0.25">
      <c r="A9" s="68" t="s">
        <v>7</v>
      </c>
    </row>
    <row r="10" spans="1:7" ht="21" x14ac:dyDescent="0.25">
      <c r="A10" s="67" t="s">
        <v>8</v>
      </c>
    </row>
    <row r="11" spans="1:7" ht="20.45" customHeight="1" x14ac:dyDescent="0.25">
      <c r="A11" s="65" t="s">
        <v>9</v>
      </c>
      <c r="B11" s="21"/>
    </row>
    <row r="12" spans="1:7" ht="17.45" customHeight="1" x14ac:dyDescent="0.25">
      <c r="A12" s="65" t="s">
        <v>10</v>
      </c>
      <c r="B12" s="21"/>
    </row>
    <row r="13" spans="1:7" ht="15.6" customHeight="1" x14ac:dyDescent="0.25">
      <c r="A13" s="65" t="s">
        <v>11</v>
      </c>
      <c r="B13" s="65"/>
    </row>
    <row r="14" spans="1:7" x14ac:dyDescent="0.25">
      <c r="A14" s="21"/>
    </row>
    <row r="15" spans="1:7" ht="21.75" thickBot="1" x14ac:dyDescent="0.3">
      <c r="A15" s="68" t="s">
        <v>12</v>
      </c>
      <c r="C15" s="63"/>
      <c r="D15" s="63"/>
      <c r="E15" s="63"/>
      <c r="F15" s="63"/>
      <c r="G15" s="63"/>
    </row>
    <row r="16" spans="1:7" ht="15" customHeight="1" thickBot="1" x14ac:dyDescent="0.3">
      <c r="A16" s="64"/>
      <c r="B16" s="70" t="s">
        <v>13</v>
      </c>
      <c r="D16" s="21" t="s">
        <v>14</v>
      </c>
      <c r="E16" s="25"/>
      <c r="F16" s="25"/>
      <c r="G16" s="63"/>
    </row>
    <row r="17" spans="1:4" ht="14.45" customHeight="1" x14ac:dyDescent="0.25">
      <c r="A17" s="2"/>
      <c r="B17" s="70" t="s">
        <v>15</v>
      </c>
      <c r="D17" s="21" t="s">
        <v>16</v>
      </c>
    </row>
    <row r="18" spans="1:4" ht="18.600000000000001" customHeight="1" x14ac:dyDescent="0.25">
      <c r="A18" s="58">
        <v>1</v>
      </c>
      <c r="B18" s="70" t="s">
        <v>17</v>
      </c>
      <c r="D18" s="21" t="s">
        <v>18</v>
      </c>
    </row>
    <row r="19" spans="1:4" ht="22.5" customHeight="1" x14ac:dyDescent="0.25">
      <c r="A19" s="30"/>
      <c r="B19" s="70" t="s">
        <v>19</v>
      </c>
      <c r="D19" s="21" t="s">
        <v>20</v>
      </c>
    </row>
    <row r="20" spans="1:4" ht="23.25" customHeight="1" x14ac:dyDescent="0.25">
      <c r="A20" s="24"/>
      <c r="B20" s="70" t="s">
        <v>21</v>
      </c>
      <c r="D20" s="21" t="s">
        <v>22</v>
      </c>
    </row>
    <row r="21" spans="1:4" ht="15.75" x14ac:dyDescent="0.25">
      <c r="A21" s="61"/>
      <c r="B21" s="60"/>
    </row>
    <row r="22" spans="1:4" ht="21" x14ac:dyDescent="0.25">
      <c r="A22" s="68" t="s">
        <v>23</v>
      </c>
      <c r="B22" s="60"/>
    </row>
    <row r="23" spans="1:4" x14ac:dyDescent="0.25">
      <c r="A23" s="58">
        <v>1</v>
      </c>
      <c r="B23" s="59" t="s">
        <v>24</v>
      </c>
    </row>
    <row r="24" spans="1:4" x14ac:dyDescent="0.25">
      <c r="A24" s="58">
        <v>2</v>
      </c>
      <c r="B24" s="59" t="s">
        <v>25</v>
      </c>
    </row>
    <row r="25" spans="1:4" x14ac:dyDescent="0.25">
      <c r="A25" s="58">
        <v>3</v>
      </c>
      <c r="B25" s="59" t="s">
        <v>26</v>
      </c>
    </row>
    <row r="26" spans="1:4" x14ac:dyDescent="0.25">
      <c r="A26" s="58">
        <v>4</v>
      </c>
      <c r="B26" s="59" t="s">
        <v>27</v>
      </c>
    </row>
    <row r="27" spans="1:4" x14ac:dyDescent="0.25">
      <c r="A27" s="58">
        <v>5</v>
      </c>
      <c r="B27" s="59" t="s">
        <v>28</v>
      </c>
    </row>
    <row r="28" spans="1:4" x14ac:dyDescent="0.25">
      <c r="A28" s="58">
        <v>6</v>
      </c>
      <c r="B28" s="59" t="s">
        <v>29</v>
      </c>
    </row>
    <row r="29" spans="1:4" x14ac:dyDescent="0.25">
      <c r="A29" s="58">
        <v>7</v>
      </c>
      <c r="B29" s="59" t="s">
        <v>30</v>
      </c>
    </row>
    <row r="30" spans="1:4" x14ac:dyDescent="0.25">
      <c r="A30" s="58">
        <v>8</v>
      </c>
      <c r="B30" s="59" t="s">
        <v>31</v>
      </c>
    </row>
    <row r="31" spans="1:4" x14ac:dyDescent="0.25">
      <c r="A31" s="58">
        <v>9</v>
      </c>
      <c r="B31" s="59" t="s">
        <v>32</v>
      </c>
    </row>
    <row r="32" spans="1:4" x14ac:dyDescent="0.25">
      <c r="A32" s="58">
        <v>10</v>
      </c>
      <c r="B32" s="59" t="s">
        <v>33</v>
      </c>
    </row>
    <row r="33" spans="1:2" x14ac:dyDescent="0.25">
      <c r="A33" s="58">
        <v>11</v>
      </c>
      <c r="B33" s="59" t="s">
        <v>34</v>
      </c>
    </row>
    <row r="34" spans="1:2" x14ac:dyDescent="0.25">
      <c r="A34" s="58">
        <v>12</v>
      </c>
      <c r="B34" s="59" t="s">
        <v>35</v>
      </c>
    </row>
    <row r="35" spans="1:2" x14ac:dyDescent="0.25">
      <c r="A35" s="58">
        <v>13</v>
      </c>
      <c r="B35" s="59" t="s">
        <v>36</v>
      </c>
    </row>
    <row r="36" spans="1:2" x14ac:dyDescent="0.25">
      <c r="A36" s="58">
        <v>14</v>
      </c>
      <c r="B36" s="59" t="s">
        <v>37</v>
      </c>
    </row>
    <row r="37" spans="1:2" x14ac:dyDescent="0.25">
      <c r="A37" s="58">
        <v>15</v>
      </c>
      <c r="B37" s="59" t="s">
        <v>38</v>
      </c>
    </row>
    <row r="38" spans="1:2" x14ac:dyDescent="0.25">
      <c r="A38" s="58">
        <v>16</v>
      </c>
      <c r="B38" s="59" t="s">
        <v>39</v>
      </c>
    </row>
    <row r="39" spans="1:2" x14ac:dyDescent="0.25">
      <c r="A39" s="58">
        <v>17</v>
      </c>
      <c r="B39" s="59" t="s">
        <v>40</v>
      </c>
    </row>
    <row r="40" spans="1:2" x14ac:dyDescent="0.25">
      <c r="A40" s="58">
        <v>18</v>
      </c>
      <c r="B40" s="59" t="s">
        <v>41</v>
      </c>
    </row>
    <row r="41" spans="1:2" x14ac:dyDescent="0.25">
      <c r="A41" s="58">
        <v>19</v>
      </c>
      <c r="B41" s="59" t="s">
        <v>42</v>
      </c>
    </row>
    <row r="42" spans="1:2" x14ac:dyDescent="0.25">
      <c r="A42" s="58">
        <v>20</v>
      </c>
      <c r="B42" s="59" t="str">
        <f t="shared" ref="B42:B50" si="0">"Leasing: "&amp;B30</f>
        <v>Leasing: Number of Days driving per week*</v>
      </c>
    </row>
    <row r="43" spans="1:2" x14ac:dyDescent="0.25">
      <c r="A43" s="58">
        <v>21</v>
      </c>
      <c r="B43" s="59" t="str">
        <f t="shared" si="0"/>
        <v>Leasing: Number of Weeks driving per year*</v>
      </c>
    </row>
    <row r="44" spans="1:2" x14ac:dyDescent="0.25">
      <c r="A44" s="58">
        <v>22</v>
      </c>
      <c r="B44" s="59" t="str">
        <f t="shared" si="0"/>
        <v>Leasing: Insurance Costs</v>
      </c>
    </row>
    <row r="45" spans="1:2" x14ac:dyDescent="0.25">
      <c r="A45" s="58">
        <v>23</v>
      </c>
      <c r="B45" s="59" t="str">
        <f t="shared" si="0"/>
        <v>Leasing: Fuel Costs (enter data or use the equation to determine it based on MPG and avg. price)</v>
      </c>
    </row>
    <row r="46" spans="1:2" x14ac:dyDescent="0.25">
      <c r="A46" s="58">
        <v>24</v>
      </c>
      <c r="B46" s="59" t="str">
        <f t="shared" si="0"/>
        <v>Leasing: Average Price ($/Gal)</v>
      </c>
    </row>
    <row r="47" spans="1:2" x14ac:dyDescent="0.25">
      <c r="A47" s="58">
        <v>25</v>
      </c>
      <c r="B47" s="59" t="str">
        <f t="shared" si="0"/>
        <v>Leasing: Estimated Fuel Efficiency (mpg)</v>
      </c>
    </row>
    <row r="48" spans="1:2" x14ac:dyDescent="0.25">
      <c r="A48" s="58">
        <v>26</v>
      </c>
      <c r="B48" s="59" t="str">
        <f t="shared" si="0"/>
        <v>Leasing: Other Licenses Costs (i.e. dairy, etc.)</v>
      </c>
    </row>
    <row r="49" spans="1:2" x14ac:dyDescent="0.25">
      <c r="A49" s="58">
        <v>27</v>
      </c>
      <c r="B49" s="59" t="str">
        <f t="shared" si="0"/>
        <v>Leasing: Avg. Speed of trip (&lt; 100 miles) mph</v>
      </c>
    </row>
    <row r="50" spans="1:2" x14ac:dyDescent="0.25">
      <c r="A50" s="58">
        <v>28</v>
      </c>
      <c r="B50" s="59" t="str">
        <f t="shared" si="0"/>
        <v>Leasing: Avg. Speed of trip (&gt; 100 miles) mph</v>
      </c>
    </row>
    <row r="51" spans="1:2" x14ac:dyDescent="0.25">
      <c r="A51" s="58">
        <v>29</v>
      </c>
      <c r="B51" t="s">
        <v>43</v>
      </c>
    </row>
    <row r="52" spans="1:2" x14ac:dyDescent="0.25">
      <c r="A52" s="58">
        <v>30</v>
      </c>
      <c r="B52" t="s">
        <v>44</v>
      </c>
    </row>
    <row r="53" spans="1:2" x14ac:dyDescent="0.25">
      <c r="A53" s="58">
        <v>31</v>
      </c>
      <c r="B53" t="s">
        <v>45</v>
      </c>
    </row>
    <row r="54" spans="1:2" x14ac:dyDescent="0.25">
      <c r="A54" s="58">
        <v>32</v>
      </c>
      <c r="B54" t="s">
        <v>46</v>
      </c>
    </row>
    <row r="55" spans="1:2" x14ac:dyDescent="0.25">
      <c r="A55" s="58">
        <v>33</v>
      </c>
      <c r="B55" t="s">
        <v>47</v>
      </c>
    </row>
    <row r="56" spans="1:2" x14ac:dyDescent="0.25">
      <c r="A56" s="58">
        <v>34</v>
      </c>
      <c r="B56" s="59" t="s">
        <v>48</v>
      </c>
    </row>
    <row r="57" spans="1:2" x14ac:dyDescent="0.25">
      <c r="A57" s="58">
        <v>35</v>
      </c>
      <c r="B57" s="59" t="s">
        <v>49</v>
      </c>
    </row>
    <row r="58" spans="1:2" x14ac:dyDescent="0.25">
      <c r="A58" s="58">
        <v>36</v>
      </c>
      <c r="B58" s="59" t="s">
        <v>50</v>
      </c>
    </row>
    <row r="59" spans="1:2" x14ac:dyDescent="0.25">
      <c r="A59" s="58">
        <v>37</v>
      </c>
      <c r="B59" s="59" t="s">
        <v>51</v>
      </c>
    </row>
    <row r="60" spans="1:2" x14ac:dyDescent="0.25">
      <c r="A60" s="58">
        <v>38</v>
      </c>
      <c r="B60" s="59" t="s">
        <v>52</v>
      </c>
    </row>
    <row r="61" spans="1:2" x14ac:dyDescent="0.25">
      <c r="A61" s="58">
        <v>39</v>
      </c>
      <c r="B61" s="59" t="s">
        <v>53</v>
      </c>
    </row>
    <row r="62" spans="1:2" x14ac:dyDescent="0.25">
      <c r="A62" s="58">
        <v>40</v>
      </c>
      <c r="B62" s="59" t="s">
        <v>54</v>
      </c>
    </row>
    <row r="63" spans="1:2" x14ac:dyDescent="0.25">
      <c r="A63" s="58">
        <v>41</v>
      </c>
      <c r="B63" s="59" t="s">
        <v>55</v>
      </c>
    </row>
    <row r="66" spans="1:2" ht="21" x14ac:dyDescent="0.25">
      <c r="A66" s="68" t="s">
        <v>56</v>
      </c>
    </row>
    <row r="67" spans="1:2" x14ac:dyDescent="0.25">
      <c r="A67" s="66" t="s">
        <v>57</v>
      </c>
    </row>
    <row r="68" spans="1:2" x14ac:dyDescent="0.25">
      <c r="A68" s="58">
        <v>42</v>
      </c>
      <c r="B68" s="59" t="s">
        <v>58</v>
      </c>
    </row>
    <row r="69" spans="1:2" x14ac:dyDescent="0.25">
      <c r="A69" s="58">
        <v>43</v>
      </c>
      <c r="B69" s="59" t="s">
        <v>59</v>
      </c>
    </row>
    <row r="70" spans="1:2" x14ac:dyDescent="0.25">
      <c r="A70" s="58">
        <v>44</v>
      </c>
      <c r="B70" s="59" t="s">
        <v>60</v>
      </c>
    </row>
    <row r="71" spans="1:2" x14ac:dyDescent="0.25">
      <c r="A71" s="66"/>
    </row>
    <row r="72" spans="1:2" ht="23.25" x14ac:dyDescent="0.25">
      <c r="A72" s="22" t="s">
        <v>61</v>
      </c>
    </row>
    <row r="73" spans="1:2" x14ac:dyDescent="0.25">
      <c r="A73" s="59" t="s">
        <v>62</v>
      </c>
    </row>
    <row r="74" spans="1:2" x14ac:dyDescent="0.25">
      <c r="A74" s="23" t="s">
        <v>63</v>
      </c>
    </row>
    <row r="75" spans="1:2" x14ac:dyDescent="0.25">
      <c r="A75" s="62" t="s">
        <v>64</v>
      </c>
    </row>
    <row r="77" spans="1:2" ht="23.25" x14ac:dyDescent="0.25">
      <c r="A77" s="22" t="s">
        <v>65</v>
      </c>
    </row>
    <row r="78" spans="1:2" ht="17.45" customHeight="1" x14ac:dyDescent="0.25">
      <c r="A78" s="21" t="s">
        <v>66</v>
      </c>
      <c r="B78" s="21"/>
    </row>
    <row r="79" spans="1:2" x14ac:dyDescent="0.25">
      <c r="A79" t="s">
        <v>67</v>
      </c>
    </row>
    <row r="80" spans="1:2" x14ac:dyDescent="0.25">
      <c r="A80" t="s">
        <v>68</v>
      </c>
    </row>
    <row r="81" spans="1:1" x14ac:dyDescent="0.25">
      <c r="A81" t="s">
        <v>69</v>
      </c>
    </row>
  </sheetData>
  <mergeCells count="4">
    <mergeCell ref="A8:E8"/>
    <mergeCell ref="A3:F3"/>
    <mergeCell ref="A5:F5"/>
    <mergeCell ref="A6:F6"/>
  </mergeCells>
  <hyperlinks>
    <hyperlink ref="A74" r:id="rId1" display="For more information or technical help with the model, contact:"/>
    <hyperlink ref="A75" r:id="rId2"/>
  </hyperlinks>
  <pageMargins left="0.7" right="0.7" top="0.75" bottom="0.75" header="0.3" footer="0.3"/>
  <pageSetup scale="42"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Q76"/>
  <sheetViews>
    <sheetView showGridLines="0" tabSelected="1" zoomScale="55" zoomScaleNormal="55" zoomScaleSheetLayoutView="40" workbookViewId="0">
      <selection activeCell="O25" sqref="O25"/>
    </sheetView>
  </sheetViews>
  <sheetFormatPr defaultColWidth="9.140625" defaultRowHeight="15" x14ac:dyDescent="0.25"/>
  <cols>
    <col min="1" max="1" width="5.7109375" style="5" customWidth="1"/>
    <col min="2" max="2" width="4.7109375" style="5" customWidth="1"/>
    <col min="3" max="3" width="68.28515625" style="5" customWidth="1"/>
    <col min="4" max="4" width="8.28515625" style="163" customWidth="1"/>
    <col min="5" max="6" width="20.7109375" style="5" customWidth="1"/>
    <col min="7" max="7" width="9.85546875" style="5" customWidth="1"/>
    <col min="8" max="9" width="20.7109375" style="5" customWidth="1"/>
    <col min="10" max="10" width="11.42578125" style="5" customWidth="1"/>
    <col min="11" max="11" width="42" style="5" bestFit="1" customWidth="1"/>
    <col min="12" max="12" width="18.42578125" style="5" customWidth="1"/>
    <col min="13" max="13" width="8.28515625" style="5" customWidth="1"/>
    <col min="14" max="14" width="28.85546875" style="5" customWidth="1"/>
    <col min="15" max="15" width="26.7109375" style="5" customWidth="1"/>
    <col min="16" max="16" width="6.7109375" style="5" customWidth="1"/>
    <col min="17" max="16384" width="9.140625" style="5"/>
  </cols>
  <sheetData>
    <row r="1" spans="2:17" ht="26.25" customHeight="1" x14ac:dyDescent="0.25">
      <c r="B1" s="6"/>
      <c r="C1" s="307" t="s">
        <v>70</v>
      </c>
      <c r="D1" s="307"/>
      <c r="E1" s="307"/>
      <c r="F1" s="307"/>
      <c r="G1" s="307"/>
      <c r="H1" s="307"/>
      <c r="I1" s="307"/>
      <c r="J1" s="307"/>
      <c r="K1" s="307"/>
      <c r="L1" s="307"/>
      <c r="M1" s="307"/>
      <c r="N1" s="307"/>
      <c r="O1" s="56"/>
    </row>
    <row r="2" spans="2:17" ht="26.25" customHeight="1" x14ac:dyDescent="0.25">
      <c r="B2" s="6"/>
      <c r="C2" s="308" t="s">
        <v>71</v>
      </c>
      <c r="D2" s="308"/>
      <c r="E2" s="308"/>
      <c r="F2" s="308"/>
      <c r="G2" s="308"/>
      <c r="H2" s="308"/>
      <c r="I2" s="308"/>
      <c r="J2" s="308"/>
      <c r="K2" s="308"/>
      <c r="L2" s="308"/>
      <c r="M2" s="308"/>
      <c r="N2" s="308"/>
      <c r="O2" s="71"/>
    </row>
    <row r="3" spans="2:17" s="73" customFormat="1" ht="26.25" customHeight="1" thickBot="1" x14ac:dyDescent="0.3">
      <c r="B3" s="72"/>
      <c r="D3" s="74"/>
    </row>
    <row r="4" spans="2:17" ht="26.25" customHeight="1" x14ac:dyDescent="0.35">
      <c r="B4" s="6"/>
      <c r="C4" s="309" t="s">
        <v>72</v>
      </c>
      <c r="D4" s="310"/>
      <c r="E4" s="310"/>
      <c r="F4" s="310"/>
      <c r="G4" s="310"/>
      <c r="H4" s="310"/>
      <c r="I4" s="310"/>
      <c r="J4" s="310"/>
      <c r="K4" s="310"/>
      <c r="L4" s="310"/>
      <c r="M4" s="310"/>
      <c r="N4" s="311"/>
      <c r="O4" s="71"/>
    </row>
    <row r="5" spans="2:17" ht="26.25" customHeight="1" x14ac:dyDescent="0.35">
      <c r="B5" s="6"/>
      <c r="C5" s="75"/>
      <c r="D5" s="76"/>
      <c r="E5" s="262" t="s">
        <v>73</v>
      </c>
      <c r="F5" s="262"/>
      <c r="G5" s="77"/>
      <c r="H5" s="263" t="s">
        <v>74</v>
      </c>
      <c r="I5" s="264"/>
      <c r="J5" s="76"/>
      <c r="K5" s="262" t="s">
        <v>75</v>
      </c>
      <c r="L5" s="262"/>
      <c r="M5" s="265" t="s">
        <v>76</v>
      </c>
      <c r="N5" s="266"/>
      <c r="O5" s="71"/>
      <c r="Q5" s="78"/>
    </row>
    <row r="6" spans="2:17" ht="41.1" customHeight="1" x14ac:dyDescent="0.35">
      <c r="B6" s="6"/>
      <c r="C6" s="295" t="s">
        <v>77</v>
      </c>
      <c r="D6" s="296"/>
      <c r="E6" s="258">
        <f>E70*$E$24</f>
        <v>43232</v>
      </c>
      <c r="F6" s="258"/>
      <c r="G6" s="245"/>
      <c r="H6" s="258">
        <f>H73*$E$24</f>
        <v>74525</v>
      </c>
      <c r="I6" s="258"/>
      <c r="J6" s="245"/>
      <c r="K6" s="258">
        <f>IF(E18="Case",IF(L22="Mark-Up",L25*L26*$E$22,(L23*E22)),(L24*E23))</f>
        <v>24000</v>
      </c>
      <c r="L6" s="258"/>
      <c r="M6" s="258">
        <f>IF(O22="Mark-Up",(O24*O25*IF(E18="Case",$E$22,E23)), (O23*O25*IF(E18="Case",$E$22,E23)))</f>
        <v>33600</v>
      </c>
      <c r="N6" s="267"/>
      <c r="O6" s="71"/>
      <c r="Q6" s="78"/>
    </row>
    <row r="7" spans="2:17" ht="30.75" customHeight="1" x14ac:dyDescent="0.35">
      <c r="B7" s="6"/>
      <c r="C7" s="11"/>
      <c r="D7" s="79" t="str">
        <f>"Total Cost Per "&amp;E18</f>
        <v>Total Cost Per Case</v>
      </c>
      <c r="E7" s="258">
        <f>IF(E18="Case",E6/$E$22,E6/E23)</f>
        <v>5.4039999999999999</v>
      </c>
      <c r="F7" s="258"/>
      <c r="G7" s="80"/>
      <c r="H7" s="258">
        <f>IF(E18="Case",H6/$E$22,H6/E23)</f>
        <v>9.3156250000000007</v>
      </c>
      <c r="I7" s="258"/>
      <c r="J7" s="80"/>
      <c r="K7" s="258">
        <f>IF(E18="Case",K6/$E$22,K6/E23)</f>
        <v>3</v>
      </c>
      <c r="L7" s="258"/>
      <c r="M7" s="258">
        <f>IF(E18="Case",M6/$E$22,M6/E23)</f>
        <v>4.2</v>
      </c>
      <c r="N7" s="267"/>
      <c r="O7" s="71"/>
    </row>
    <row r="8" spans="2:17" ht="26.25" customHeight="1" x14ac:dyDescent="0.25">
      <c r="B8" s="6"/>
      <c r="C8" s="11"/>
      <c r="D8" s="81"/>
      <c r="E8" s="250" t="s">
        <v>78</v>
      </c>
      <c r="F8" s="250"/>
      <c r="G8" s="250"/>
      <c r="H8" s="250"/>
      <c r="I8" s="250"/>
      <c r="J8" s="250"/>
      <c r="K8" s="250"/>
      <c r="L8" s="250"/>
      <c r="M8" s="250"/>
      <c r="N8" s="251"/>
      <c r="O8" s="71"/>
    </row>
    <row r="9" spans="2:17" ht="14.1" customHeight="1" x14ac:dyDescent="0.25">
      <c r="B9" s="6"/>
      <c r="C9" s="82"/>
      <c r="D9" s="83"/>
      <c r="E9" s="83"/>
      <c r="F9" s="83"/>
      <c r="G9" s="83"/>
      <c r="H9" s="83"/>
      <c r="I9" s="83"/>
      <c r="J9" s="83"/>
      <c r="K9" s="83"/>
      <c r="L9" s="83"/>
      <c r="M9" s="84"/>
      <c r="N9" s="85"/>
      <c r="O9" s="71"/>
    </row>
    <row r="10" spans="2:17" ht="15.95" customHeight="1" x14ac:dyDescent="0.25">
      <c r="B10" s="6"/>
      <c r="C10" s="86"/>
      <c r="D10" s="87"/>
      <c r="E10" s="83"/>
      <c r="F10" s="83"/>
      <c r="G10" s="83"/>
      <c r="H10" s="83"/>
      <c r="I10" s="83"/>
      <c r="J10" s="83"/>
      <c r="K10" s="83"/>
      <c r="L10" s="83"/>
      <c r="M10" s="83"/>
      <c r="N10" s="85"/>
      <c r="O10" s="71"/>
    </row>
    <row r="11" spans="2:17" ht="26.25" customHeight="1" x14ac:dyDescent="0.35">
      <c r="B11" s="6"/>
      <c r="C11" s="88"/>
      <c r="D11" s="89"/>
      <c r="E11" s="262" t="s">
        <v>79</v>
      </c>
      <c r="F11" s="262"/>
      <c r="G11" s="77"/>
      <c r="H11" s="263" t="s">
        <v>80</v>
      </c>
      <c r="I11" s="264"/>
      <c r="J11" s="83"/>
      <c r="K11" s="90" t="s">
        <v>81</v>
      </c>
      <c r="L11" s="83"/>
      <c r="M11" s="83"/>
      <c r="N11" s="85"/>
      <c r="O11" s="71"/>
    </row>
    <row r="12" spans="2:17" ht="52.5" customHeight="1" x14ac:dyDescent="0.25">
      <c r="B12" s="6"/>
      <c r="C12" s="252" t="s">
        <v>82</v>
      </c>
      <c r="D12" s="253"/>
      <c r="E12" s="258">
        <f>IF(E17="User Defined",E69,F69)</f>
        <v>1.2986666666666666</v>
      </c>
      <c r="F12" s="258"/>
      <c r="G12" s="91"/>
      <c r="H12" s="260">
        <f>IF(E17="User Defined",H72,I72)</f>
        <v>2.3704166666666664</v>
      </c>
      <c r="I12" s="260"/>
      <c r="J12" s="84"/>
      <c r="K12" s="297" t="s">
        <v>83</v>
      </c>
      <c r="L12" s="297"/>
      <c r="M12" s="297"/>
      <c r="N12" s="298"/>
      <c r="O12" s="71"/>
    </row>
    <row r="13" spans="2:17" ht="46.5" customHeight="1" thickBot="1" x14ac:dyDescent="0.3">
      <c r="B13" s="6"/>
      <c r="C13" s="254" t="s">
        <v>84</v>
      </c>
      <c r="D13" s="255"/>
      <c r="E13" s="259">
        <f>IF(E17="User Defined",E70,F70)</f>
        <v>3.6026666666666665</v>
      </c>
      <c r="F13" s="259"/>
      <c r="G13" s="92"/>
      <c r="H13" s="261">
        <f>IF(E17="User Defined",H73,I73)</f>
        <v>6.2104166666666663</v>
      </c>
      <c r="I13" s="261"/>
      <c r="J13" s="93"/>
      <c r="K13" s="299"/>
      <c r="L13" s="299"/>
      <c r="M13" s="299"/>
      <c r="N13" s="300"/>
      <c r="O13" s="71"/>
    </row>
    <row r="14" spans="2:17" s="74" customFormat="1" ht="26.25" customHeight="1" x14ac:dyDescent="0.25">
      <c r="F14" s="94"/>
      <c r="G14" s="94"/>
      <c r="H14" s="94"/>
      <c r="I14" s="94"/>
      <c r="J14" s="94"/>
      <c r="K14" s="95"/>
      <c r="L14" s="94"/>
      <c r="M14" s="94"/>
      <c r="N14" s="94"/>
      <c r="O14" s="94"/>
    </row>
    <row r="15" spans="2:17" s="74" customFormat="1" ht="31.7" customHeight="1" x14ac:dyDescent="0.5">
      <c r="B15" s="96" t="s">
        <v>85</v>
      </c>
      <c r="C15" s="96"/>
      <c r="D15" s="96"/>
      <c r="E15" s="96"/>
      <c r="F15" s="96"/>
      <c r="G15" s="96"/>
      <c r="H15" s="96"/>
      <c r="I15" s="96"/>
      <c r="J15" s="96"/>
      <c r="K15" s="96"/>
      <c r="L15" s="96"/>
      <c r="M15" s="96"/>
      <c r="N15" s="96"/>
      <c r="O15" s="96"/>
    </row>
    <row r="16" spans="2:17" s="74" customFormat="1" ht="12.6" customHeight="1" thickBot="1" x14ac:dyDescent="0.55000000000000004">
      <c r="B16" s="97"/>
      <c r="C16" s="97"/>
      <c r="D16" s="97"/>
      <c r="E16" s="97"/>
      <c r="F16" s="97"/>
      <c r="G16" s="97"/>
      <c r="H16" s="97"/>
      <c r="I16" s="97"/>
      <c r="J16" s="97"/>
      <c r="K16" s="97"/>
      <c r="L16" s="97"/>
      <c r="M16" s="97"/>
      <c r="N16" s="97"/>
      <c r="O16" s="97"/>
    </row>
    <row r="17" spans="1:16" s="74" customFormat="1" ht="26.25" customHeight="1" thickBot="1" x14ac:dyDescent="0.55000000000000004">
      <c r="B17" s="98"/>
      <c r="C17" s="99" t="s">
        <v>86</v>
      </c>
      <c r="D17" s="100">
        <v>1</v>
      </c>
      <c r="E17" s="34" t="s">
        <v>87</v>
      </c>
      <c r="F17" s="94"/>
      <c r="G17" s="94"/>
      <c r="H17" s="94"/>
      <c r="I17" s="94"/>
      <c r="J17" s="94"/>
      <c r="K17" s="94"/>
      <c r="L17" s="94"/>
      <c r="M17" s="94"/>
      <c r="N17" s="94"/>
      <c r="O17" s="94"/>
    </row>
    <row r="18" spans="1:16" ht="26.25" customHeight="1" thickBot="1" x14ac:dyDescent="0.3">
      <c r="A18" s="6"/>
      <c r="B18" s="6"/>
      <c r="C18" s="101" t="s">
        <v>88</v>
      </c>
      <c r="D18" s="100">
        <v>2</v>
      </c>
      <c r="E18" s="33" t="s">
        <v>89</v>
      </c>
      <c r="F18" s="102"/>
      <c r="G18" s="102"/>
      <c r="H18" s="102"/>
      <c r="I18" s="102"/>
      <c r="J18" s="102"/>
      <c r="K18" s="103"/>
      <c r="L18" s="6"/>
      <c r="M18" s="6"/>
      <c r="N18" s="71"/>
      <c r="O18" s="71"/>
    </row>
    <row r="19" spans="1:16" ht="26.25" customHeight="1" thickBot="1" x14ac:dyDescent="0.3">
      <c r="A19" s="6"/>
      <c r="B19" s="6"/>
      <c r="C19" s="104"/>
      <c r="D19" s="104"/>
      <c r="E19" s="105"/>
      <c r="F19" s="106"/>
      <c r="G19" s="107"/>
      <c r="H19" s="107"/>
      <c r="I19" s="107"/>
      <c r="J19" s="107"/>
      <c r="K19" s="108"/>
      <c r="L19" s="109"/>
      <c r="M19" s="109"/>
      <c r="N19" s="110"/>
      <c r="O19" s="110"/>
    </row>
    <row r="20" spans="1:16" ht="60.75" customHeight="1" thickBot="1" x14ac:dyDescent="0.3">
      <c r="A20" s="6"/>
      <c r="B20" s="6"/>
      <c r="C20" s="6"/>
      <c r="D20" s="56"/>
      <c r="E20" s="293" t="s">
        <v>90</v>
      </c>
      <c r="F20" s="294"/>
      <c r="G20" s="111" t="s">
        <v>91</v>
      </c>
      <c r="H20" s="291" t="s">
        <v>92</v>
      </c>
      <c r="I20" s="292"/>
      <c r="J20" s="111" t="s">
        <v>91</v>
      </c>
      <c r="K20" s="280" t="s">
        <v>93</v>
      </c>
      <c r="L20" s="281"/>
      <c r="M20" s="111" t="s">
        <v>91</v>
      </c>
      <c r="N20" s="256" t="s">
        <v>94</v>
      </c>
      <c r="O20" s="257"/>
    </row>
    <row r="21" spans="1:16" ht="19.5" thickBot="1" x14ac:dyDescent="0.35">
      <c r="B21" s="112"/>
      <c r="C21" s="113" t="s">
        <v>95</v>
      </c>
      <c r="D21" s="114"/>
      <c r="E21" s="115" t="s">
        <v>87</v>
      </c>
      <c r="F21" s="115" t="s">
        <v>96</v>
      </c>
      <c r="G21" s="116"/>
      <c r="H21" s="115" t="s">
        <v>87</v>
      </c>
      <c r="I21" s="115" t="s">
        <v>96</v>
      </c>
      <c r="J21" s="117"/>
      <c r="K21" s="118"/>
      <c r="L21" s="119" t="s">
        <v>87</v>
      </c>
      <c r="M21" s="120"/>
      <c r="N21" s="11"/>
      <c r="O21" s="119" t="s">
        <v>87</v>
      </c>
    </row>
    <row r="22" spans="1:16" ht="25.5" customHeight="1" thickBot="1" x14ac:dyDescent="0.3">
      <c r="B22" s="282" t="s">
        <v>97</v>
      </c>
      <c r="C22" s="121" t="s">
        <v>26</v>
      </c>
      <c r="D22" s="100">
        <v>3</v>
      </c>
      <c r="E22" s="271">
        <v>8000</v>
      </c>
      <c r="F22" s="272"/>
      <c r="G22" s="272"/>
      <c r="H22" s="272"/>
      <c r="I22" s="273"/>
      <c r="J22" s="122"/>
      <c r="K22" s="123" t="s">
        <v>98</v>
      </c>
      <c r="L22" s="35" t="s">
        <v>99</v>
      </c>
      <c r="M22" s="100">
        <v>33</v>
      </c>
      <c r="N22" s="123" t="s">
        <v>100</v>
      </c>
      <c r="O22" s="35" t="s">
        <v>101</v>
      </c>
      <c r="P22" s="100">
        <v>38</v>
      </c>
    </row>
    <row r="23" spans="1:16" ht="25.5" customHeight="1" thickBot="1" x14ac:dyDescent="0.3">
      <c r="B23" s="283"/>
      <c r="C23" s="121" t="s">
        <v>27</v>
      </c>
      <c r="D23" s="100">
        <v>4</v>
      </c>
      <c r="E23" s="290">
        <v>400</v>
      </c>
      <c r="F23" s="290"/>
      <c r="G23" s="290"/>
      <c r="H23" s="290"/>
      <c r="I23" s="290"/>
      <c r="J23" s="122"/>
      <c r="K23" s="124" t="s">
        <v>102</v>
      </c>
      <c r="L23" s="27">
        <v>3</v>
      </c>
      <c r="M23" s="100">
        <v>34</v>
      </c>
      <c r="N23" s="124" t="s">
        <v>103</v>
      </c>
      <c r="O23" s="26">
        <v>0.35</v>
      </c>
      <c r="P23" s="100">
        <v>39</v>
      </c>
    </row>
    <row r="24" spans="1:16" ht="24.95" customHeight="1" thickBot="1" x14ac:dyDescent="0.3">
      <c r="B24" s="283"/>
      <c r="C24" s="121" t="s">
        <v>28</v>
      </c>
      <c r="D24" s="100">
        <v>5</v>
      </c>
      <c r="E24" s="271">
        <v>12000</v>
      </c>
      <c r="F24" s="272"/>
      <c r="G24" s="272"/>
      <c r="H24" s="272"/>
      <c r="I24" s="273"/>
      <c r="J24" s="122"/>
      <c r="K24" s="124" t="s">
        <v>104</v>
      </c>
      <c r="L24" s="31"/>
      <c r="M24" s="100">
        <v>35</v>
      </c>
      <c r="N24" s="124" t="s">
        <v>105</v>
      </c>
      <c r="O24" s="26">
        <v>0.15</v>
      </c>
      <c r="P24" s="100">
        <v>40</v>
      </c>
    </row>
    <row r="25" spans="1:16" ht="24.95" customHeight="1" thickBot="1" x14ac:dyDescent="0.3">
      <c r="B25" s="283"/>
      <c r="C25" s="121" t="s">
        <v>29</v>
      </c>
      <c r="D25" s="100">
        <v>6</v>
      </c>
      <c r="E25" s="271">
        <v>24</v>
      </c>
      <c r="F25" s="272"/>
      <c r="G25" s="272"/>
      <c r="H25" s="272"/>
      <c r="I25" s="273"/>
      <c r="J25" s="122"/>
      <c r="K25" s="124" t="s">
        <v>105</v>
      </c>
      <c r="L25" s="26"/>
      <c r="M25" s="100">
        <v>36</v>
      </c>
      <c r="N25" s="125" t="str">
        <f>"Value per "&amp;E18</f>
        <v>Value per Case</v>
      </c>
      <c r="O25" s="28">
        <v>28</v>
      </c>
      <c r="P25" s="100">
        <v>41</v>
      </c>
    </row>
    <row r="26" spans="1:16" ht="24.95" customHeight="1" thickBot="1" x14ac:dyDescent="0.3">
      <c r="B26" s="283"/>
      <c r="C26" s="121" t="s">
        <v>30</v>
      </c>
      <c r="D26" s="100">
        <v>7</v>
      </c>
      <c r="E26" s="271">
        <v>8</v>
      </c>
      <c r="F26" s="272"/>
      <c r="G26" s="272"/>
      <c r="H26" s="272"/>
      <c r="I26" s="273"/>
      <c r="J26" s="122"/>
      <c r="K26" s="125" t="s">
        <v>106</v>
      </c>
      <c r="L26" s="28">
        <v>28</v>
      </c>
      <c r="M26" s="100">
        <v>37</v>
      </c>
      <c r="N26" s="56"/>
      <c r="O26" s="56"/>
      <c r="P26" s="56"/>
    </row>
    <row r="27" spans="1:16" ht="24.95" customHeight="1" thickBot="1" x14ac:dyDescent="0.3">
      <c r="B27" s="283"/>
      <c r="C27" s="121" t="s">
        <v>31</v>
      </c>
      <c r="D27" s="100">
        <v>8</v>
      </c>
      <c r="E27" s="32">
        <v>3</v>
      </c>
      <c r="F27" s="126"/>
      <c r="G27" s="100">
        <v>20</v>
      </c>
      <c r="H27" s="32">
        <v>5</v>
      </c>
      <c r="I27" s="126"/>
      <c r="J27" s="122"/>
      <c r="M27" s="120"/>
      <c r="N27" s="127"/>
      <c r="O27" s="128"/>
      <c r="P27" s="56"/>
    </row>
    <row r="28" spans="1:16" ht="24.95" customHeight="1" thickBot="1" x14ac:dyDescent="0.3">
      <c r="B28" s="283"/>
      <c r="C28" s="121" t="s">
        <v>32</v>
      </c>
      <c r="D28" s="100">
        <v>9</v>
      </c>
      <c r="E28" s="32">
        <v>48</v>
      </c>
      <c r="F28" s="126"/>
      <c r="G28" s="100">
        <v>21</v>
      </c>
      <c r="H28" s="32">
        <v>48</v>
      </c>
      <c r="I28" s="126"/>
      <c r="J28" s="122"/>
      <c r="M28" s="120"/>
      <c r="N28" s="127"/>
      <c r="O28" s="128"/>
      <c r="P28" s="56"/>
    </row>
    <row r="29" spans="1:16" ht="24.95" customHeight="1" x14ac:dyDescent="0.25">
      <c r="B29" s="283"/>
      <c r="C29" s="129" t="s">
        <v>33</v>
      </c>
      <c r="D29" s="100">
        <v>10</v>
      </c>
      <c r="E29" s="39"/>
      <c r="F29" s="130">
        <v>2375</v>
      </c>
      <c r="G29" s="100">
        <v>22</v>
      </c>
      <c r="H29" s="46">
        <v>2375</v>
      </c>
      <c r="I29" s="131">
        <v>2375</v>
      </c>
      <c r="J29" s="132"/>
      <c r="M29" s="120"/>
      <c r="N29" s="133"/>
      <c r="O29" s="56"/>
      <c r="P29" s="56"/>
    </row>
    <row r="30" spans="1:16" ht="24.95" customHeight="1" x14ac:dyDescent="0.25">
      <c r="B30" s="283"/>
      <c r="C30" s="129" t="s">
        <v>107</v>
      </c>
      <c r="D30" s="100">
        <v>11</v>
      </c>
      <c r="E30" s="40">
        <f>E31*$E$24/E32</f>
        <v>4160</v>
      </c>
      <c r="F30" s="130">
        <f>F31*$E$24/F32</f>
        <v>4160</v>
      </c>
      <c r="G30" s="100">
        <v>23</v>
      </c>
      <c r="H30" s="47">
        <f>H31*$E$24/H32</f>
        <v>4160</v>
      </c>
      <c r="I30" s="131">
        <f>I31*$E$24/I32</f>
        <v>4160</v>
      </c>
      <c r="J30" s="132"/>
      <c r="M30" s="94"/>
      <c r="N30" s="94"/>
      <c r="O30" s="56"/>
      <c r="P30" s="56"/>
    </row>
    <row r="31" spans="1:16" ht="24.95" customHeight="1" x14ac:dyDescent="0.25">
      <c r="B31" s="283"/>
      <c r="C31" s="134" t="s">
        <v>35</v>
      </c>
      <c r="D31" s="100">
        <v>12</v>
      </c>
      <c r="E31" s="40">
        <v>2.6</v>
      </c>
      <c r="F31" s="130">
        <v>2.6</v>
      </c>
      <c r="G31" s="100">
        <v>24</v>
      </c>
      <c r="H31" s="47">
        <v>2.6</v>
      </c>
      <c r="I31" s="131">
        <v>2.6</v>
      </c>
      <c r="J31" s="132"/>
      <c r="M31" s="94"/>
      <c r="N31" s="94"/>
      <c r="O31" s="56"/>
      <c r="P31" s="56"/>
    </row>
    <row r="32" spans="1:16" ht="24.95" customHeight="1" x14ac:dyDescent="0.25">
      <c r="B32" s="283"/>
      <c r="C32" s="134" t="s">
        <v>36</v>
      </c>
      <c r="D32" s="100">
        <v>13</v>
      </c>
      <c r="E32" s="41">
        <v>7.5</v>
      </c>
      <c r="F32" s="135">
        <v>7.5</v>
      </c>
      <c r="G32" s="100">
        <v>25</v>
      </c>
      <c r="H32" s="48">
        <v>7.5</v>
      </c>
      <c r="I32" s="136">
        <v>7.5</v>
      </c>
      <c r="J32" s="137"/>
      <c r="K32" s="138"/>
      <c r="L32" s="138"/>
    </row>
    <row r="33" spans="2:12" ht="24.95" customHeight="1" x14ac:dyDescent="0.25">
      <c r="B33" s="283"/>
      <c r="C33" s="129" t="s">
        <v>37</v>
      </c>
      <c r="D33" s="100">
        <v>14</v>
      </c>
      <c r="E33" s="40">
        <v>200</v>
      </c>
      <c r="F33" s="139">
        <v>200</v>
      </c>
      <c r="G33" s="100">
        <v>26</v>
      </c>
      <c r="H33" s="47">
        <v>200</v>
      </c>
      <c r="I33" s="131">
        <v>200</v>
      </c>
      <c r="J33" s="132"/>
      <c r="K33" s="56"/>
      <c r="L33" s="140"/>
    </row>
    <row r="34" spans="2:12" ht="24.95" customHeight="1" x14ac:dyDescent="0.25">
      <c r="B34" s="283"/>
      <c r="C34" s="141" t="s">
        <v>38</v>
      </c>
      <c r="D34" s="100">
        <v>15</v>
      </c>
      <c r="E34" s="42">
        <v>30</v>
      </c>
      <c r="F34" s="142">
        <v>30</v>
      </c>
      <c r="G34" s="100">
        <v>27</v>
      </c>
      <c r="H34" s="49">
        <v>30</v>
      </c>
      <c r="I34" s="143">
        <v>30</v>
      </c>
      <c r="J34" s="144"/>
      <c r="K34" s="56"/>
      <c r="L34" s="56"/>
    </row>
    <row r="35" spans="2:12" ht="24.95" customHeight="1" thickBot="1" x14ac:dyDescent="0.3">
      <c r="B35" s="283"/>
      <c r="C35" s="141" t="s">
        <v>39</v>
      </c>
      <c r="D35" s="100">
        <v>16</v>
      </c>
      <c r="E35" s="44">
        <v>50</v>
      </c>
      <c r="F35" s="142">
        <v>50</v>
      </c>
      <c r="G35" s="100">
        <v>28</v>
      </c>
      <c r="H35" s="50">
        <v>50</v>
      </c>
      <c r="I35" s="145">
        <v>50</v>
      </c>
      <c r="J35" s="144"/>
      <c r="K35" s="6"/>
      <c r="L35" s="6"/>
    </row>
    <row r="36" spans="2:12" ht="24.95" customHeight="1" x14ac:dyDescent="0.25">
      <c r="B36" s="268" t="s">
        <v>108</v>
      </c>
      <c r="C36" s="146" t="s">
        <v>40</v>
      </c>
      <c r="D36" s="100">
        <v>17</v>
      </c>
      <c r="E36" s="45">
        <v>3000</v>
      </c>
      <c r="F36" s="147">
        <v>12000</v>
      </c>
      <c r="G36" s="148"/>
      <c r="H36" s="274" t="s">
        <v>109</v>
      </c>
      <c r="I36" s="275"/>
      <c r="J36" s="149"/>
      <c r="K36" s="6"/>
      <c r="L36" s="6"/>
    </row>
    <row r="37" spans="2:12" ht="24.95" customHeight="1" x14ac:dyDescent="0.25">
      <c r="B37" s="269"/>
      <c r="C37" s="121" t="s">
        <v>110</v>
      </c>
      <c r="D37" s="100">
        <v>18</v>
      </c>
      <c r="E37" s="40">
        <v>1000</v>
      </c>
      <c r="F37" s="131">
        <v>1000</v>
      </c>
      <c r="G37" s="132"/>
      <c r="H37" s="276"/>
      <c r="I37" s="277"/>
      <c r="J37" s="149"/>
      <c r="K37" s="6"/>
      <c r="L37" s="6"/>
    </row>
    <row r="38" spans="2:12" ht="24.95" customHeight="1" thickBot="1" x14ac:dyDescent="0.3">
      <c r="B38" s="270"/>
      <c r="C38" s="150" t="s">
        <v>111</v>
      </c>
      <c r="D38" s="100">
        <v>19</v>
      </c>
      <c r="E38" s="43">
        <v>6000</v>
      </c>
      <c r="F38" s="151">
        <v>7500</v>
      </c>
      <c r="G38" s="152"/>
      <c r="H38" s="278"/>
      <c r="I38" s="279"/>
      <c r="J38" s="149"/>
      <c r="K38" s="6"/>
      <c r="L38" s="6"/>
    </row>
    <row r="39" spans="2:12" ht="24.95" customHeight="1" x14ac:dyDescent="0.25">
      <c r="B39" s="268" t="s">
        <v>112</v>
      </c>
      <c r="C39" s="153" t="s">
        <v>113</v>
      </c>
      <c r="D39" s="154"/>
      <c r="E39" s="284" t="s">
        <v>109</v>
      </c>
      <c r="F39" s="285"/>
      <c r="G39" s="100">
        <v>29</v>
      </c>
      <c r="H39" s="45"/>
      <c r="I39" s="147">
        <v>20150</v>
      </c>
      <c r="J39" s="132"/>
      <c r="K39" s="6"/>
      <c r="L39" s="6"/>
    </row>
    <row r="40" spans="2:12" ht="24.95" customHeight="1" x14ac:dyDescent="0.25">
      <c r="B40" s="269"/>
      <c r="C40" s="155" t="s">
        <v>114</v>
      </c>
      <c r="D40" s="127"/>
      <c r="E40" s="286"/>
      <c r="F40" s="287"/>
      <c r="G40" s="100">
        <v>30</v>
      </c>
      <c r="H40" s="40"/>
      <c r="I40" s="131">
        <v>0.13</v>
      </c>
      <c r="J40" s="132"/>
      <c r="K40" s="6"/>
      <c r="L40" s="6"/>
    </row>
    <row r="41" spans="2:12" ht="24.95" customHeight="1" x14ac:dyDescent="0.25">
      <c r="B41" s="269"/>
      <c r="C41" s="155" t="s">
        <v>115</v>
      </c>
      <c r="D41" s="127"/>
      <c r="E41" s="286"/>
      <c r="F41" s="287"/>
      <c r="G41" s="100">
        <v>31</v>
      </c>
      <c r="H41" s="51"/>
      <c r="I41" s="131">
        <v>1</v>
      </c>
      <c r="J41" s="132"/>
      <c r="K41" s="6"/>
      <c r="L41" s="6"/>
    </row>
    <row r="42" spans="2:12" ht="24.95" customHeight="1" x14ac:dyDescent="0.25">
      <c r="B42" s="269"/>
      <c r="C42" s="155" t="s">
        <v>116</v>
      </c>
      <c r="D42" s="127"/>
      <c r="E42" s="286"/>
      <c r="F42" s="287"/>
      <c r="G42" s="100"/>
      <c r="H42" s="156">
        <f>($E$24/20)/52*0.75</f>
        <v>8.6538461538461533</v>
      </c>
      <c r="I42" s="157">
        <v>20</v>
      </c>
      <c r="J42" s="158"/>
      <c r="K42" s="6"/>
      <c r="L42" s="6"/>
    </row>
    <row r="43" spans="2:12" ht="24.95" customHeight="1" x14ac:dyDescent="0.25">
      <c r="B43" s="269"/>
      <c r="C43" s="155" t="s">
        <v>117</v>
      </c>
      <c r="D43" s="127"/>
      <c r="E43" s="286"/>
      <c r="F43" s="287"/>
      <c r="G43" s="100">
        <v>32</v>
      </c>
      <c r="H43" s="29"/>
      <c r="I43" s="131">
        <v>0.6</v>
      </c>
      <c r="J43" s="132"/>
      <c r="K43" s="6"/>
      <c r="L43" s="6"/>
    </row>
    <row r="44" spans="2:12" ht="24.95" customHeight="1" thickBot="1" x14ac:dyDescent="0.3">
      <c r="B44" s="270"/>
      <c r="C44" s="159" t="s">
        <v>118</v>
      </c>
      <c r="D44" s="160"/>
      <c r="E44" s="288"/>
      <c r="F44" s="289"/>
      <c r="G44" s="100"/>
      <c r="H44" s="161">
        <f>($E$24/20)/52*0.25</f>
        <v>2.8846153846153846</v>
      </c>
      <c r="I44" s="162">
        <v>20</v>
      </c>
      <c r="J44" s="158"/>
      <c r="K44" s="6"/>
      <c r="L44" s="6"/>
    </row>
    <row r="46" spans="2:12" x14ac:dyDescent="0.25">
      <c r="I46" s="6"/>
      <c r="J46" s="6"/>
      <c r="K46" s="6"/>
      <c r="L46" s="6"/>
    </row>
    <row r="47" spans="2:12" hidden="1" x14ac:dyDescent="0.25">
      <c r="I47" s="6"/>
      <c r="J47" s="6"/>
      <c r="K47" s="6"/>
      <c r="L47" s="6"/>
    </row>
    <row r="48" spans="2:12" ht="15.75" hidden="1" thickBot="1" x14ac:dyDescent="0.3">
      <c r="C48" s="4" t="s">
        <v>119</v>
      </c>
      <c r="D48" s="54"/>
      <c r="I48" s="6"/>
      <c r="J48" s="6"/>
      <c r="K48" s="6"/>
      <c r="L48" s="6"/>
    </row>
    <row r="49" spans="3:12" ht="48" hidden="1" customHeight="1" x14ac:dyDescent="0.25">
      <c r="C49" s="7" t="s">
        <v>120</v>
      </c>
      <c r="D49" s="55"/>
      <c r="E49" s="8" t="s">
        <v>121</v>
      </c>
      <c r="F49" s="9" t="s">
        <v>122</v>
      </c>
      <c r="G49" s="9"/>
      <c r="H49" s="9" t="s">
        <v>123</v>
      </c>
      <c r="I49" s="8" t="s">
        <v>124</v>
      </c>
      <c r="J49" s="19"/>
      <c r="K49" s="10" t="s">
        <v>125</v>
      </c>
      <c r="L49" s="10" t="s">
        <v>126</v>
      </c>
    </row>
    <row r="50" spans="3:12" hidden="1" x14ac:dyDescent="0.25">
      <c r="C50" s="11" t="str">
        <f>C29</f>
        <v>Insurance Costs</v>
      </c>
      <c r="D50" s="56"/>
      <c r="E50" s="12">
        <f>IFERROR(IF(OR(ISBLANK(VLOOKUP(C50,$C$29:$I$44,3,FALSE)),VLOOKUP(C50,$C$29:$I$44,3,FALSE)/$E$24=0),F50,VLOOKUP(C50,$C$29:$I$44,3,FALSE)/$E$24),-1)</f>
        <v>0.10199999999999999</v>
      </c>
      <c r="F50" s="12">
        <v>0.10199999999999999</v>
      </c>
      <c r="G50" s="12"/>
      <c r="H50" s="12">
        <f>IF(E50=-1,F50,E50)</f>
        <v>0.10199999999999999</v>
      </c>
      <c r="I50" s="12">
        <f>IFERROR(IF(OR(ISBLANK(VLOOKUP(C50,$C$29:$I$44,6,FALSE)),VLOOKUP(C50,$C$29:$I$44,6,FALSE)/$E$24=0),K50,VLOOKUP(C50,$C$29:$I$44,6,FALSE)/$E$24),-1)</f>
        <v>0.19791666666666666</v>
      </c>
      <c r="J50" s="12"/>
      <c r="K50" s="13">
        <v>0.1</v>
      </c>
      <c r="L50" s="12">
        <f>IF(I50=-1,K50,I50)</f>
        <v>0.19791666666666666</v>
      </c>
    </row>
    <row r="51" spans="3:12" hidden="1" x14ac:dyDescent="0.25">
      <c r="C51" s="11" t="s">
        <v>107</v>
      </c>
      <c r="D51" s="56"/>
      <c r="E51" s="12">
        <f>IFERROR(IF(OR(ISBLANK(VLOOKUP(C51,$C$29:$I$44,3,FALSE)),VLOOKUP(C51,$C$29:$I$44,3,FALSE)/$E$24=0),F51,VLOOKUP(C51,$C$29:$I$44,3,FALSE)/$E$24),-1)</f>
        <v>0.34666666666666668</v>
      </c>
      <c r="F51" s="12">
        <v>0.23799999999999999</v>
      </c>
      <c r="G51" s="12"/>
      <c r="H51" s="12">
        <f t="shared" ref="H51:H57" si="0">IF(E51=-1,F51,E51)</f>
        <v>0.34666666666666668</v>
      </c>
      <c r="I51" s="12">
        <f>IFERROR(IF(OR(ISBLANK(VLOOKUP(C51,$C$29:$I$44,6,FALSE)),VLOOKUP(C51,$C$29:$I$44,6,FALSE)/$E$24=0),K51,VLOOKUP(C51,$C$29:$I$44,6,FALSE)/$E$24),-1)</f>
        <v>0.34666666666666668</v>
      </c>
      <c r="J51" s="12"/>
      <c r="K51" s="13">
        <v>0.23799999999999999</v>
      </c>
      <c r="L51" s="12">
        <f t="shared" ref="L51:L54" si="1">IF(I51=-1,K51,I51)</f>
        <v>0.34666666666666668</v>
      </c>
    </row>
    <row r="52" spans="3:12" hidden="1" x14ac:dyDescent="0.25">
      <c r="C52" s="11" t="s">
        <v>127</v>
      </c>
      <c r="D52" s="56"/>
      <c r="E52" s="36">
        <f>(E27*E26)*E25*E28</f>
        <v>27648</v>
      </c>
      <c r="F52" s="12"/>
      <c r="G52" s="12"/>
      <c r="H52" s="12"/>
      <c r="I52" s="37">
        <f>(H27*E26)*E25*H28</f>
        <v>46080</v>
      </c>
      <c r="J52" s="12"/>
      <c r="K52" s="13"/>
      <c r="L52" s="12"/>
    </row>
    <row r="53" spans="3:12" hidden="1" x14ac:dyDescent="0.25">
      <c r="C53" s="11" t="s">
        <v>128</v>
      </c>
      <c r="D53" s="56"/>
      <c r="E53" s="38">
        <f>E52/E24</f>
        <v>2.3039999999999998</v>
      </c>
      <c r="F53" s="12"/>
      <c r="G53" s="12"/>
      <c r="H53" s="12"/>
      <c r="I53" s="38">
        <f>I52/E24</f>
        <v>3.84</v>
      </c>
      <c r="J53" s="12"/>
      <c r="K53" s="13"/>
      <c r="L53" s="12"/>
    </row>
    <row r="54" spans="3:12" ht="15.75" hidden="1" x14ac:dyDescent="0.25">
      <c r="C54" s="14" t="s">
        <v>37</v>
      </c>
      <c r="D54" s="52"/>
      <c r="E54" s="12">
        <f>IFERROR(IF(OR(ISBLANK(VLOOKUP(C54,$C$29:$I$44,3,FALSE)),VLOOKUP(C54,$C$29:$I$44,3,FALSE)/$E$24=0),F54,VLOOKUP(C54,$C$29:$I$44,3,FALSE)/$E$24),-1)</f>
        <v>1.6666666666666666E-2</v>
      </c>
      <c r="F54" s="12">
        <v>1.0999999999999999E-2</v>
      </c>
      <c r="G54" s="12"/>
      <c r="H54" s="12">
        <f t="shared" si="0"/>
        <v>1.6666666666666666E-2</v>
      </c>
      <c r="I54" s="12">
        <f>IFERROR(IF(OR(ISBLANK(VLOOKUP(C54,$C$29:$I$44,6,FALSE)),VLOOKUP(C54,$C$29:$I$44,6,FALSE)/$E$24=0),K54,VLOOKUP(C54,$C$29:$I$44,6,FALSE)/$E$24),-1)</f>
        <v>1.6666666666666666E-2</v>
      </c>
      <c r="J54" s="12"/>
      <c r="K54" s="13">
        <v>0.01</v>
      </c>
      <c r="L54" s="12">
        <f t="shared" si="1"/>
        <v>1.6666666666666666E-2</v>
      </c>
    </row>
    <row r="55" spans="3:12" hidden="1" x14ac:dyDescent="0.25">
      <c r="C55" s="11" t="s">
        <v>40</v>
      </c>
      <c r="D55" s="56"/>
      <c r="E55" s="12">
        <f>IFERROR(IF(OR(ISBLANK(VLOOKUP(C55,$C$29:$I$44,3,FALSE)),VLOOKUP(C55,$C$29:$I$44,3,FALSE)/$E$24=0),F55,VLOOKUP(C55,$C$29:$I$44,3,FALSE)/$E$24),-1)</f>
        <v>0.25</v>
      </c>
      <c r="F55" s="12">
        <v>0.46400000000000002</v>
      </c>
      <c r="G55" s="12"/>
      <c r="H55" s="12">
        <f t="shared" si="0"/>
        <v>0.25</v>
      </c>
      <c r="I55" s="15"/>
      <c r="J55" s="15"/>
      <c r="K55" s="15"/>
      <c r="L55" s="15"/>
    </row>
    <row r="56" spans="3:12" hidden="1" x14ac:dyDescent="0.25">
      <c r="C56" s="11" t="s">
        <v>110</v>
      </c>
      <c r="D56" s="56"/>
      <c r="E56" s="12">
        <f>IFERROR(IF(OR(ISBLANK(VLOOKUP(C56,$C$29:$I$44,3,FALSE)),VLOOKUP(C56,$C$29:$I$44,3,FALSE)/$E$24=0),F56,VLOOKUP(C56,$C$29:$I$44,3,FALSE)/$E$24),-1)</f>
        <v>8.3333333333333329E-2</v>
      </c>
      <c r="F56" s="12">
        <f>IF($E$24&gt;20000,0.02,0.045)</f>
        <v>4.4999999999999998E-2</v>
      </c>
      <c r="G56" s="12"/>
      <c r="H56" s="12">
        <f>IF(E56&lt;&gt;-1,IF(E24&gt;20000,0.02,0.045),F56)</f>
        <v>4.4999999999999998E-2</v>
      </c>
      <c r="I56" s="15"/>
      <c r="J56" s="15"/>
      <c r="K56" s="15"/>
      <c r="L56" s="15"/>
    </row>
    <row r="57" spans="3:12" hidden="1" x14ac:dyDescent="0.25">
      <c r="C57" s="11" t="s">
        <v>111</v>
      </c>
      <c r="D57" s="56"/>
      <c r="E57" s="12">
        <f>IFERROR(IF(OR(ISBLANK(VLOOKUP(C57,$C$29:$I$44,3,FALSE)),VLOOKUP(C57,$C$29:$I$44,3,FALSE)/$E$24=0),F57,VLOOKUP(C57,$C$29:$I$44,3,FALSE)/$E$24),-1)</f>
        <v>0.5</v>
      </c>
      <c r="F57" s="12">
        <f>F38/$E$24</f>
        <v>0.625</v>
      </c>
      <c r="G57" s="12"/>
      <c r="H57" s="12">
        <f t="shared" si="0"/>
        <v>0.5</v>
      </c>
      <c r="I57" s="15"/>
      <c r="J57" s="15"/>
      <c r="K57" s="15"/>
      <c r="L57" s="15"/>
    </row>
    <row r="58" spans="3:12" hidden="1" x14ac:dyDescent="0.25">
      <c r="C58" s="11" t="s">
        <v>129</v>
      </c>
      <c r="D58" s="56"/>
      <c r="E58" s="15"/>
      <c r="F58" s="15"/>
      <c r="G58" s="15"/>
      <c r="H58" s="15"/>
      <c r="I58" s="13">
        <f>IFERROR(IF(H39/$E$24=0,K58,H39/$E$24),-1)</f>
        <v>1.6791666666666667</v>
      </c>
      <c r="J58" s="13"/>
      <c r="K58" s="13">
        <f>I39/$E$24</f>
        <v>1.6791666666666667</v>
      </c>
      <c r="L58" s="12">
        <f>IF(I58=-1,K58,I58)</f>
        <v>1.6791666666666667</v>
      </c>
    </row>
    <row r="59" spans="3:12" hidden="1" x14ac:dyDescent="0.25">
      <c r="C59" s="11" t="s">
        <v>130</v>
      </c>
      <c r="D59" s="56"/>
      <c r="E59" s="15"/>
      <c r="F59" s="15"/>
      <c r="G59" s="15"/>
      <c r="H59" s="15"/>
      <c r="I59" s="12">
        <f>((I60*I61+I62*I63))*(52/$E$24)+I64</f>
        <v>0.13</v>
      </c>
      <c r="J59" s="12"/>
      <c r="K59" s="12">
        <f>((K60*K61+K62*K63))*(52/$E$24)+K64</f>
        <v>0.26866666666666666</v>
      </c>
      <c r="L59" s="12">
        <f>((L60*L61+L62*L63))*(52/$E$24)+L64</f>
        <v>0.13</v>
      </c>
    </row>
    <row r="60" spans="3:12" hidden="1" x14ac:dyDescent="0.25">
      <c r="C60" s="16" t="s">
        <v>131</v>
      </c>
      <c r="D60" s="53"/>
      <c r="E60" s="15"/>
      <c r="F60" s="15"/>
      <c r="G60" s="15"/>
      <c r="H60" s="15"/>
      <c r="I60" s="13">
        <f>H41</f>
        <v>0</v>
      </c>
      <c r="J60" s="13"/>
      <c r="K60" s="13">
        <f>I41</f>
        <v>1</v>
      </c>
      <c r="L60" s="12">
        <f>IF(I60=-1,K60,I60)</f>
        <v>0</v>
      </c>
    </row>
    <row r="61" spans="3:12" hidden="1" x14ac:dyDescent="0.25">
      <c r="C61" s="16" t="s">
        <v>132</v>
      </c>
      <c r="D61" s="53"/>
      <c r="E61" s="15"/>
      <c r="F61" s="15"/>
      <c r="G61" s="15"/>
      <c r="H61" s="15"/>
      <c r="I61" s="13">
        <f>($E$24/20)/52*0.75</f>
        <v>8.6538461538461533</v>
      </c>
      <c r="J61" s="13"/>
      <c r="K61" s="13">
        <v>20</v>
      </c>
      <c r="L61" s="12">
        <f t="shared" ref="L61" si="2">IF(I61=-1,K61,I61)</f>
        <v>8.6538461538461533</v>
      </c>
    </row>
    <row r="62" spans="3:12" hidden="1" x14ac:dyDescent="0.25">
      <c r="C62" s="16" t="s">
        <v>133</v>
      </c>
      <c r="D62" s="53"/>
      <c r="E62" s="15"/>
      <c r="F62" s="15"/>
      <c r="G62" s="15"/>
      <c r="H62" s="15"/>
      <c r="I62" s="13">
        <f>H43</f>
        <v>0</v>
      </c>
      <c r="J62" s="13"/>
      <c r="K62" s="13">
        <f>I43</f>
        <v>0.6</v>
      </c>
      <c r="L62" s="12">
        <f>IF(I62=-1,K62,I62)</f>
        <v>0</v>
      </c>
    </row>
    <row r="63" spans="3:12" hidden="1" x14ac:dyDescent="0.25">
      <c r="C63" s="17" t="s">
        <v>134</v>
      </c>
      <c r="D63" s="53"/>
      <c r="E63" s="15"/>
      <c r="F63" s="15"/>
      <c r="G63" s="15"/>
      <c r="H63" s="15"/>
      <c r="I63" s="13">
        <f>H44</f>
        <v>2.8846153846153846</v>
      </c>
      <c r="J63" s="13"/>
      <c r="K63" s="13">
        <f>I44</f>
        <v>20</v>
      </c>
      <c r="L63" s="12">
        <f>IF(I63=-1,K63,I63)</f>
        <v>2.8846153846153846</v>
      </c>
    </row>
    <row r="64" spans="3:12" ht="15.75" hidden="1" x14ac:dyDescent="0.25">
      <c r="C64" s="18" t="s">
        <v>114</v>
      </c>
      <c r="D64" s="57"/>
      <c r="E64" s="15"/>
      <c r="F64" s="15"/>
      <c r="G64" s="15"/>
      <c r="H64" s="15"/>
      <c r="I64" s="12">
        <f>IFERROR(IF(OR(ISBLANK(VLOOKUP(C64,$C$29:$I$44,6,FALSE)),VLOOKUP(C64,$C$29:$I$44,6,FALSE)/$E$24=0),K64,VLOOKUP(C64,$C$29:$I$44,6,FALSE)/$E$24),-1)</f>
        <v>0.13</v>
      </c>
      <c r="J64" s="13"/>
      <c r="K64" s="13">
        <v>0.13</v>
      </c>
      <c r="L64" s="12">
        <f>IF(I64=-1,K64,I64)</f>
        <v>0.13</v>
      </c>
    </row>
    <row r="65" spans="1:12" s="163" customFormat="1" ht="16.5" thickBot="1" x14ac:dyDescent="0.3">
      <c r="C65" s="57"/>
      <c r="D65" s="57"/>
      <c r="E65" s="164"/>
      <c r="F65" s="164"/>
      <c r="G65" s="164"/>
      <c r="H65" s="164"/>
      <c r="I65" s="165"/>
      <c r="J65" s="164"/>
      <c r="K65" s="164"/>
      <c r="L65" s="133"/>
    </row>
    <row r="66" spans="1:12" ht="57.75" customHeight="1" thickBot="1" x14ac:dyDescent="0.55000000000000004">
      <c r="C66" s="248" t="s">
        <v>135</v>
      </c>
      <c r="D66" s="249"/>
      <c r="E66" s="166" t="s">
        <v>136</v>
      </c>
      <c r="F66" s="167" t="s">
        <v>137</v>
      </c>
      <c r="G66" s="168"/>
      <c r="H66" s="169" t="s">
        <v>138</v>
      </c>
      <c r="I66" s="170" t="s">
        <v>139</v>
      </c>
      <c r="J66" s="171"/>
      <c r="K66" s="6"/>
      <c r="L66" s="6"/>
    </row>
    <row r="67" spans="1:12" ht="39" customHeight="1" thickTop="1" x14ac:dyDescent="0.3">
      <c r="C67" s="172"/>
      <c r="D67" s="173" t="s">
        <v>140</v>
      </c>
      <c r="E67" s="174">
        <f>SUM(E50,E54,E55,E56)</f>
        <v>0.45199999999999996</v>
      </c>
      <c r="F67" s="174">
        <f>SUM(F50,F54,F55,F56)</f>
        <v>0.622</v>
      </c>
      <c r="G67" s="175"/>
      <c r="H67" s="301" t="s">
        <v>109</v>
      </c>
      <c r="I67" s="302"/>
      <c r="J67" s="176"/>
      <c r="K67" s="6"/>
      <c r="L67" s="6"/>
    </row>
    <row r="68" spans="1:12" ht="41.25" customHeight="1" x14ac:dyDescent="0.3">
      <c r="C68" s="177"/>
      <c r="D68" s="178" t="s">
        <v>141</v>
      </c>
      <c r="E68" s="179">
        <f>SUM(E50,E54,E55,E56,E57)</f>
        <v>0.95199999999999996</v>
      </c>
      <c r="F68" s="179">
        <f>SUM(F50,F54,F56,F55,F57)</f>
        <v>1.2469999999999999</v>
      </c>
      <c r="G68" s="180"/>
      <c r="H68" s="303"/>
      <c r="I68" s="304"/>
      <c r="J68" s="176"/>
      <c r="K68" s="6"/>
      <c r="L68" s="6"/>
    </row>
    <row r="69" spans="1:12" ht="39" customHeight="1" x14ac:dyDescent="0.3">
      <c r="C69" s="177"/>
      <c r="D69" s="178" t="s">
        <v>142</v>
      </c>
      <c r="E69" s="179">
        <f>SUM(E50:E51)+SUM(E54:E57)</f>
        <v>1.2986666666666666</v>
      </c>
      <c r="F69" s="179">
        <f>SUM(F50:F51)+SUM(F54:F57)</f>
        <v>1.4849999999999999</v>
      </c>
      <c r="G69" s="180"/>
      <c r="H69" s="303"/>
      <c r="I69" s="304"/>
      <c r="J69" s="176"/>
      <c r="K69" s="6"/>
      <c r="L69" s="6"/>
    </row>
    <row r="70" spans="1:12" ht="35.25" customHeight="1" x14ac:dyDescent="0.3">
      <c r="C70" s="177"/>
      <c r="D70" s="178" t="s">
        <v>143</v>
      </c>
      <c r="E70" s="179">
        <f>E69+E53</f>
        <v>3.6026666666666665</v>
      </c>
      <c r="F70" s="244" t="s">
        <v>144</v>
      </c>
      <c r="G70" s="180"/>
      <c r="H70" s="303"/>
      <c r="I70" s="304"/>
      <c r="J70" s="176"/>
      <c r="K70" s="6"/>
      <c r="L70" s="6"/>
    </row>
    <row r="71" spans="1:12" ht="28.5" customHeight="1" x14ac:dyDescent="0.3">
      <c r="C71" s="177"/>
      <c r="D71" s="178" t="s">
        <v>145</v>
      </c>
      <c r="E71" s="305" t="s">
        <v>109</v>
      </c>
      <c r="F71" s="305"/>
      <c r="G71" s="181"/>
      <c r="H71" s="179">
        <f>SUM($I$50,$I$54,$I$58,L59)</f>
        <v>2.0237500000000002</v>
      </c>
      <c r="I71" s="182">
        <f>SUM($K$50,$K$54,$K$58,$L$59)</f>
        <v>1.9191666666666669</v>
      </c>
      <c r="J71" s="183"/>
      <c r="K71" s="6"/>
      <c r="L71" s="6"/>
    </row>
    <row r="72" spans="1:12" ht="18.75" customHeight="1" x14ac:dyDescent="0.3">
      <c r="C72" s="184"/>
      <c r="D72" s="178" t="s">
        <v>146</v>
      </c>
      <c r="E72" s="305"/>
      <c r="F72" s="305"/>
      <c r="G72" s="181"/>
      <c r="H72" s="179">
        <f>SUM($L$50:$L$54,$L$58,$L$59)</f>
        <v>2.3704166666666664</v>
      </c>
      <c r="I72" s="182">
        <f>SUM($K$50:$K$54,$K$58,$L$59)</f>
        <v>2.1571666666666665</v>
      </c>
      <c r="J72" s="183"/>
      <c r="K72" s="6"/>
      <c r="L72" s="6"/>
    </row>
    <row r="73" spans="1:12" ht="29.25" customHeight="1" thickBot="1" x14ac:dyDescent="0.35">
      <c r="C73" s="185"/>
      <c r="D73" s="186" t="s">
        <v>147</v>
      </c>
      <c r="E73" s="306"/>
      <c r="F73" s="306"/>
      <c r="G73" s="187"/>
      <c r="H73" s="188">
        <f>H72+I53</f>
        <v>6.2104166666666663</v>
      </c>
      <c r="I73" s="244" t="s">
        <v>144</v>
      </c>
      <c r="J73" s="183"/>
      <c r="K73" s="6"/>
      <c r="L73" s="6"/>
    </row>
    <row r="74" spans="1:12" ht="12.75" customHeight="1" thickTop="1" x14ac:dyDescent="0.25">
      <c r="C74" s="189"/>
      <c r="D74" s="189"/>
      <c r="E74" s="120"/>
      <c r="F74" s="120"/>
      <c r="G74" s="120"/>
      <c r="H74" s="133"/>
      <c r="I74" s="133"/>
      <c r="J74" s="133"/>
      <c r="K74" s="56"/>
      <c r="L74" s="56"/>
    </row>
    <row r="75" spans="1:12" x14ac:dyDescent="0.25">
      <c r="A75" s="56"/>
      <c r="B75" s="56"/>
      <c r="F75" s="190"/>
      <c r="G75" s="56"/>
      <c r="H75" s="133"/>
      <c r="I75" s="133"/>
      <c r="J75" s="133"/>
      <c r="K75" s="56"/>
      <c r="L75" s="56"/>
    </row>
    <row r="76" spans="1:12" x14ac:dyDescent="0.25">
      <c r="F76" s="6"/>
      <c r="G76" s="6"/>
      <c r="H76" s="6"/>
    </row>
  </sheetData>
  <sheetProtection algorithmName="SHA-512" hashValue="9hftwccxAq5RemLXFAVEkYSZ2O+YU418jT0TiASAUTG5b7RU14ksoa6kVZMNSUmBU5QhZzXK4FJopKa6WGxGhA==" saltValue="Ss1ah0rsWlwd+e3NT+GZ8w==" spinCount="100000" sheet="1" objects="1" scenarios="1"/>
  <mergeCells count="43">
    <mergeCell ref="M7:N7"/>
    <mergeCell ref="K12:N13"/>
    <mergeCell ref="H67:I70"/>
    <mergeCell ref="E71:F73"/>
    <mergeCell ref="C1:N1"/>
    <mergeCell ref="C2:N2"/>
    <mergeCell ref="C4:N4"/>
    <mergeCell ref="E6:F6"/>
    <mergeCell ref="E7:F7"/>
    <mergeCell ref="H6:I6"/>
    <mergeCell ref="H7:I7"/>
    <mergeCell ref="K7:L7"/>
    <mergeCell ref="K6:L6"/>
    <mergeCell ref="E5:F5"/>
    <mergeCell ref="H5:I5"/>
    <mergeCell ref="K5:L5"/>
    <mergeCell ref="M5:N5"/>
    <mergeCell ref="M6:N6"/>
    <mergeCell ref="B39:B44"/>
    <mergeCell ref="E26:I26"/>
    <mergeCell ref="B36:B38"/>
    <mergeCell ref="H36:I38"/>
    <mergeCell ref="K20:L20"/>
    <mergeCell ref="B22:B35"/>
    <mergeCell ref="E24:I24"/>
    <mergeCell ref="E25:I25"/>
    <mergeCell ref="E39:F44"/>
    <mergeCell ref="E23:I23"/>
    <mergeCell ref="H20:I20"/>
    <mergeCell ref="E20:F20"/>
    <mergeCell ref="E22:I22"/>
    <mergeCell ref="C6:D6"/>
    <mergeCell ref="C66:D66"/>
    <mergeCell ref="E8:N8"/>
    <mergeCell ref="C12:D12"/>
    <mergeCell ref="C13:D13"/>
    <mergeCell ref="N20:O20"/>
    <mergeCell ref="E12:F12"/>
    <mergeCell ref="E13:F13"/>
    <mergeCell ref="H12:I12"/>
    <mergeCell ref="H13:I13"/>
    <mergeCell ref="E11:F11"/>
    <mergeCell ref="H11:I11"/>
  </mergeCells>
  <conditionalFormatting sqref="E50:E57">
    <cfRule type="cellIs" dxfId="3" priority="6" operator="equal">
      <formula>-1</formula>
    </cfRule>
  </conditionalFormatting>
  <conditionalFormatting sqref="I52">
    <cfRule type="cellIs" dxfId="2" priority="4" operator="equal">
      <formula>-1</formula>
    </cfRule>
  </conditionalFormatting>
  <conditionalFormatting sqref="I53">
    <cfRule type="cellIs" dxfId="1" priority="3" operator="equal">
      <formula>-1</formula>
    </cfRule>
  </conditionalFormatting>
  <conditionalFormatting sqref="G13:I13">
    <cfRule type="expression" dxfId="0" priority="2">
      <formula>0</formula>
    </cfRule>
  </conditionalFormatting>
  <dataValidations xWindow="1230" yWindow="525" count="10">
    <dataValidation type="custom" errorStyle="warning" showInputMessage="1" showErrorMessage="1" errorTitle="Miles Per Year -- REQUIRED" error="A numerical value greater than or equal to 0 is required as input" promptTitle="Miles Per Year (Required Input)" prompt="Please enter a numerical value" sqref="I27:I28 J22:J28 E24:I24 F27:F28">
      <formula1>AND(ISNUMBER(E22),E22&gt;=0,NOT(ISBLANK(E22)))</formula1>
    </dataValidation>
    <dataValidation allowBlank="1" showInputMessage="1" showErrorMessage="1" promptTitle="Fuel Costs (Required Input)" prompt="Enter a numerical value or use the fuel efficiency and diesel price to calculate the costs." sqref="E30:F30 H30:J30"/>
    <dataValidation allowBlank="1" showInputMessage="1" showErrorMessage="1" promptTitle="Per Case Fee (Required Input)" prompt="Enter the per case fee quoted. Please enter a numerical value or leave blank." sqref="L33"/>
    <dataValidation type="list" allowBlank="1" showInputMessage="1" showErrorMessage="1" sqref="E17">
      <formula1>TruckCostInputData</formula1>
    </dataValidation>
    <dataValidation type="custom" errorStyle="warning" showInputMessage="1" showErrorMessage="1" errorTitle="Miles Per Year -- REQUIRED" error="A numerical value greater than or equal to 0 is required as input" promptTitle="Number of Pallets" prompt="Number of Pallets Shipped per Year" sqref="E23:I23">
      <formula1>AND(ISNUMBER(E23),E23&gt;=0,NOT(ISBLANK(E23)))</formula1>
    </dataValidation>
    <dataValidation type="custom" errorStyle="warning" showInputMessage="1" showErrorMessage="1" errorTitle="Miles Per Year -- REQUIRED" error="A numerical value greater than or equal to 0 is required as input" promptTitle="Cases" prompt="Number of Cases Shipped per Year" sqref="E22:I22">
      <formula1>AND(ISNUMBER(E22),E22&gt;=0,NOT(ISBLANK(E22)))</formula1>
    </dataValidation>
    <dataValidation type="custom" errorStyle="warning" showInputMessage="1" showErrorMessage="1" errorTitle="Miles Per Year -- REQUIRED" error="A numerical value greater than or equal to 0 is required as input" promptTitle="Labor" prompt="Driver Wage (hrly)" sqref="E25:I25">
      <formula1>AND(ISNUMBER(E25),E25&gt;=0,NOT(ISBLANK(E25)))</formula1>
    </dataValidation>
    <dataValidation type="custom" errorStyle="warning" showInputMessage="1" showErrorMessage="1" errorTitle="Miles Per Year -- REQUIRED" error="A numerical value greater than or equal to 0 is required as input" promptTitle="Labor" prompt="Number of Driver Hours per Day (avg)" sqref="E26:I26">
      <formula1>AND(ISNUMBER(E26),E26&gt;=0,NOT(ISBLANK(E26)))</formula1>
    </dataValidation>
    <dataValidation type="custom" errorStyle="warning" showInputMessage="1" showErrorMessage="1" errorTitle="Miles Per Year -- REQUIRED" error="A numerical value greater than or equal to 0 is required as input" promptTitle="Labor" prompt="Number of Days Driving per Week" sqref="E27 H27">
      <formula1>AND(ISNUMBER(E27),E27&gt;=0,NOT(ISBLANK(E27)))</formula1>
    </dataValidation>
    <dataValidation type="custom" errorStyle="warning" showInputMessage="1" showErrorMessage="1" errorTitle="Miles Per Year -- REQUIRED" error="A numerical value greater than or equal to 0 is required as input" promptTitle="Labor" prompt="Number of Driving Weeks per Year" sqref="E28 H28">
      <formula1>AND(ISNUMBER(E28),E28&gt;=0,NOT(ISBLANK(E28)))</formula1>
    </dataValidation>
  </dataValidations>
  <pageMargins left="0.7" right="0.7" top="0.75" bottom="0.75" header="0.3" footer="0.3"/>
  <pageSetup scale="33" orientation="landscape" r:id="rId1"/>
  <ignoredErrors>
    <ignoredError sqref="N25 K6 E6 H6" unlockedFormula="1"/>
  </ignoredErrors>
  <extLst>
    <ext xmlns:x14="http://schemas.microsoft.com/office/spreadsheetml/2009/9/main" uri="{CCE6A557-97BC-4b89-ADB6-D9C93CAAB3DF}">
      <x14:dataValidations xmlns:xm="http://schemas.microsoft.com/office/excel/2006/main" xWindow="1230" yWindow="525" count="3">
        <x14:dataValidation type="list" allowBlank="1" showInputMessage="1" showErrorMessage="1" promptTitle="Select Case or Pallet" prompt="Select Case or Pallet">
          <x14:formula1>
            <xm:f>DefineNames!$E$4:$E$5</xm:f>
          </x14:formula1>
          <xm:sqref>E18:E19</xm:sqref>
        </x14:dataValidation>
        <x14:dataValidation type="list" allowBlank="1" showInputMessage="1" showErrorMessage="1" prompt="Use Cost or Mark-Up">
          <x14:formula1>
            <xm:f>DefineNames!$H$3:$H$4</xm:f>
          </x14:formula1>
          <xm:sqref>L22</xm:sqref>
        </x14:dataValidation>
        <x14:dataValidation type="list" allowBlank="1" showInputMessage="1" showErrorMessage="1" prompt="Use Margin or Mark-Up">
          <x14:formula1>
            <xm:f>DefineNames!$J$3:$J$4</xm:f>
          </x14:formula1>
          <xm:sqref>O22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V62"/>
  <sheetViews>
    <sheetView showGridLines="0" topLeftCell="A10" zoomScale="85" zoomScaleNormal="85" workbookViewId="0">
      <selection activeCell="B2" sqref="B2:Q2"/>
    </sheetView>
  </sheetViews>
  <sheetFormatPr defaultColWidth="9.140625" defaultRowHeight="15" x14ac:dyDescent="0.25"/>
  <cols>
    <col min="1" max="1" width="9.7109375" style="5" customWidth="1"/>
    <col min="2" max="2" width="5.85546875" style="5" customWidth="1"/>
    <col min="3" max="3" width="6.5703125" style="5" customWidth="1"/>
    <col min="4" max="6" width="12" style="5" bestFit="1" customWidth="1"/>
    <col min="7" max="8" width="12.5703125" style="5" bestFit="1" customWidth="1"/>
    <col min="9" max="9" width="5.5703125" style="5" customWidth="1"/>
    <col min="10" max="10" width="3.85546875" style="5" customWidth="1"/>
    <col min="11" max="11" width="8.42578125" style="5" customWidth="1"/>
    <col min="12" max="16" width="10.28515625" style="5" customWidth="1"/>
    <col min="17" max="17" width="4" style="5" customWidth="1"/>
    <col min="18" max="18" width="9.42578125" style="5" bestFit="1" customWidth="1"/>
    <col min="19" max="19" width="9.140625" style="5"/>
    <col min="20" max="20" width="16.7109375" style="5" bestFit="1" customWidth="1"/>
    <col min="21" max="22" width="20.7109375" style="5" customWidth="1"/>
    <col min="23" max="16384" width="9.140625" style="5"/>
  </cols>
  <sheetData>
    <row r="1" spans="2:22" x14ac:dyDescent="0.25">
      <c r="B1" s="313" t="s">
        <v>148</v>
      </c>
      <c r="C1" s="313"/>
    </row>
    <row r="2" spans="2:22" ht="81.599999999999994" customHeight="1" x14ac:dyDescent="0.25">
      <c r="B2" s="314" t="s">
        <v>149</v>
      </c>
      <c r="C2" s="314"/>
      <c r="D2" s="314"/>
      <c r="E2" s="314"/>
      <c r="F2" s="314"/>
      <c r="G2" s="314"/>
      <c r="H2" s="314"/>
      <c r="I2" s="314"/>
      <c r="J2" s="314"/>
      <c r="K2" s="314"/>
      <c r="L2" s="314"/>
      <c r="M2" s="314"/>
      <c r="N2" s="314"/>
      <c r="O2" s="314"/>
      <c r="P2" s="314"/>
      <c r="Q2" s="314"/>
    </row>
    <row r="4" spans="2:22" x14ac:dyDescent="0.25">
      <c r="B4" s="191"/>
      <c r="C4" s="192" t="str">
        <f>'Annual Distribution Costs'!E17</f>
        <v>User Defined</v>
      </c>
      <c r="D4" s="193" t="s">
        <v>150</v>
      </c>
      <c r="U4" s="78"/>
      <c r="V4" s="78"/>
    </row>
    <row r="5" spans="2:22" x14ac:dyDescent="0.25">
      <c r="C5" s="194"/>
      <c r="D5" s="195"/>
      <c r="E5" s="196"/>
      <c r="F5" s="163"/>
      <c r="U5" s="78"/>
      <c r="V5" s="78"/>
    </row>
    <row r="6" spans="2:22" x14ac:dyDescent="0.25">
      <c r="C6" s="194"/>
      <c r="D6" s="195"/>
      <c r="E6" s="196"/>
      <c r="F6" s="163"/>
      <c r="U6" s="78"/>
      <c r="V6" s="78"/>
    </row>
    <row r="7" spans="2:22" ht="23.25" x14ac:dyDescent="0.25">
      <c r="C7" s="197" t="s">
        <v>151</v>
      </c>
      <c r="D7" s="198"/>
      <c r="E7" s="198"/>
      <c r="F7" s="198"/>
      <c r="G7" s="198"/>
      <c r="H7" s="198"/>
      <c r="I7" s="198"/>
      <c r="J7" s="198"/>
      <c r="K7" s="198"/>
      <c r="L7" s="198"/>
      <c r="M7" s="198"/>
      <c r="N7" s="198"/>
      <c r="O7" s="198"/>
      <c r="P7" s="198"/>
      <c r="Q7" s="198"/>
      <c r="U7" s="78"/>
      <c r="V7" s="78"/>
    </row>
    <row r="8" spans="2:22" ht="15.75" thickBot="1" x14ac:dyDescent="0.3">
      <c r="E8" s="199" t="s">
        <v>152</v>
      </c>
      <c r="F8" s="199" t="s">
        <v>153</v>
      </c>
      <c r="U8" s="78"/>
      <c r="V8" s="78"/>
    </row>
    <row r="9" spans="2:22" ht="15.75" thickBot="1" x14ac:dyDescent="0.3">
      <c r="D9" s="200" t="s">
        <v>154</v>
      </c>
      <c r="E9" s="317">
        <v>110</v>
      </c>
      <c r="F9" s="318"/>
      <c r="G9" s="100">
        <v>42</v>
      </c>
      <c r="K9" s="201" t="s">
        <v>155</v>
      </c>
      <c r="U9" s="78"/>
      <c r="V9" s="78"/>
    </row>
    <row r="10" spans="2:22" x14ac:dyDescent="0.25">
      <c r="D10" s="202" t="s">
        <v>156</v>
      </c>
      <c r="E10" s="203">
        <f>IF(AND($C$4="User Defined",'Annual Distribution Costs'!$E$34&lt;&gt;0,$E$9&lt;=100),$E$9/'Annual Distribution Costs'!$E$34*'Annual Distribution Costs'!$E$25,IF(AND($C$4="User Defined",'Annual Distribution Costs'!$F$34&lt;&gt;0,$E$9&lt;=100),$E$9/'Annual Distribution Costs'!$F$34*'Annual Distribution Costs'!$E$25,IF(AND($C$4="Average",'Annual Distribution Costs'!$F$34&lt;&gt;0,$E$9&lt;=100),$E$9/'Annual Distribution Costs'!$F$34*'Annual Distribution Costs'!$E$25,IF(AND($C$4="User Defined",'Annual Distribution Costs'!$E$34&lt;&gt;0,$E$9&gt;100),$E$9/'Annual Distribution Costs'!$E$35*'Annual Distribution Costs'!$E$25,IF(AND($C$4="User Defined",'Annual Distribution Costs'!$F$35&lt;&gt;0,$E$9&gt;100),$E$9/'Annual Distribution Costs'!$F$35*'Annual Distribution Costs'!$E$25,IF(AND($C$4="Average",'Annual Distribution Costs'!$F$35&lt;&gt;0,$E$9&gt;100),$E$9/'Annual Distribution Costs'!$F$35*'Annual Distribution Costs'!$E$25,"Check Defined"))))))</f>
        <v>52.800000000000004</v>
      </c>
      <c r="F10" s="203">
        <f>IF(AND($C$4="User Defined",'Annual Distribution Costs'!$H$34&lt;&gt;0,$E$9&lt;=100),$E$9/'Annual Distribution Costs'!$H$34*'Annual Distribution Costs'!$E$25,IF(AND($C$4="User Defined",'Annual Distribution Costs'!$I$34&lt;&gt;0,$E$9&lt;=100),$E$9/'Annual Distribution Costs'!$I$34*'Annual Distribution Costs'!$E$25,IF(AND($C$4="Average",'Annual Distribution Costs'!$I$34&lt;&gt;0,$E$9&lt;=100),$E$9/'Annual Distribution Costs'!$I$34*'Annual Distribution Costs'!$E$25,IF(AND($C$4="User Defined",'Annual Distribution Costs'!$H$35&lt;&gt;0,$E$9&gt;100),$E$9/'Annual Distribution Costs'!$H$35*'Annual Distribution Costs'!$E$25,IF(AND($C$4="User Defined",'Annual Distribution Costs'!$I$35&lt;&gt;0,$E$9&gt;100),$E$9/'Annual Distribution Costs'!$I$35*'Annual Distribution Costs'!$E$25,IF(AND($C$4="Average",'Annual Distribution Costs'!$I$35&lt;&gt;0,$E$9&gt;100),$E$9/'Annual Distribution Costs'!$I$35*'Annual Distribution Costs'!$E$25,"Check Defined"))))))</f>
        <v>52.800000000000004</v>
      </c>
      <c r="K10" s="315" t="s">
        <v>157</v>
      </c>
      <c r="L10" s="315"/>
      <c r="M10" s="315"/>
      <c r="N10" s="315"/>
      <c r="O10" s="315"/>
      <c r="P10" s="315"/>
      <c r="Q10" s="315"/>
      <c r="U10" s="78"/>
      <c r="V10" s="78"/>
    </row>
    <row r="11" spans="2:22" x14ac:dyDescent="0.25">
      <c r="D11" s="202" t="s">
        <v>158</v>
      </c>
      <c r="E11" s="204">
        <f>IF($C$4="User Defined",'Annual Distribution Costs'!$E$69*$E$9,'Annual Distribution Costs'!$F$69*$E$9)</f>
        <v>142.85333333333332</v>
      </c>
      <c r="F11" s="204">
        <f>IF($C$4="User Defined",'Annual Distribution Costs'!$H$72*$E$9,'Annual Distribution Costs'!$I$72*$E$9)</f>
        <v>260.74583333333328</v>
      </c>
      <c r="K11" s="315"/>
      <c r="L11" s="315"/>
      <c r="M11" s="315"/>
      <c r="N11" s="315"/>
      <c r="O11" s="315"/>
      <c r="P11" s="315"/>
      <c r="Q11" s="315"/>
      <c r="U11" s="78"/>
      <c r="V11" s="78"/>
    </row>
    <row r="12" spans="2:22" x14ac:dyDescent="0.25">
      <c r="C12" s="205"/>
      <c r="D12" s="202" t="s">
        <v>159</v>
      </c>
      <c r="E12" s="206">
        <f>E11+E10</f>
        <v>195.65333333333334</v>
      </c>
      <c r="F12" s="206">
        <f>F11+F10</f>
        <v>313.54583333333329</v>
      </c>
      <c r="K12" s="315"/>
      <c r="L12" s="315"/>
      <c r="M12" s="315"/>
      <c r="N12" s="315"/>
      <c r="O12" s="315"/>
      <c r="P12" s="315"/>
      <c r="Q12" s="315"/>
      <c r="U12" s="78"/>
      <c r="V12" s="78"/>
    </row>
    <row r="13" spans="2:22" x14ac:dyDescent="0.25">
      <c r="C13" s="205"/>
      <c r="E13" s="78"/>
      <c r="F13" s="78"/>
      <c r="K13" s="201" t="s">
        <v>160</v>
      </c>
      <c r="U13" s="78"/>
      <c r="V13" s="78"/>
    </row>
    <row r="14" spans="2:22" x14ac:dyDescent="0.25">
      <c r="C14" s="205"/>
      <c r="E14" s="319" t="s">
        <v>161</v>
      </c>
      <c r="F14" s="319"/>
      <c r="K14" s="316" t="s">
        <v>162</v>
      </c>
      <c r="L14" s="316"/>
      <c r="M14" s="316"/>
      <c r="N14" s="316"/>
      <c r="O14" s="316"/>
      <c r="P14" s="316"/>
      <c r="U14" s="78"/>
      <c r="V14" s="78"/>
    </row>
    <row r="15" spans="2:22" x14ac:dyDescent="0.25">
      <c r="C15" s="205"/>
      <c r="D15" s="207" t="s">
        <v>163</v>
      </c>
      <c r="E15" s="240">
        <v>20</v>
      </c>
      <c r="F15" s="240">
        <v>20</v>
      </c>
      <c r="G15" s="100">
        <v>43</v>
      </c>
      <c r="K15" s="316"/>
      <c r="L15" s="316"/>
      <c r="M15" s="316"/>
      <c r="N15" s="316"/>
      <c r="O15" s="316"/>
      <c r="P15" s="316"/>
      <c r="U15" s="78"/>
      <c r="V15" s="78"/>
    </row>
    <row r="16" spans="2:22" x14ac:dyDescent="0.25">
      <c r="C16" s="205"/>
      <c r="D16" s="208" t="s">
        <v>164</v>
      </c>
      <c r="E16" s="209">
        <f>E12/E15</f>
        <v>9.7826666666666675</v>
      </c>
      <c r="F16" s="209">
        <f>F12/F15</f>
        <v>15.677291666666665</v>
      </c>
      <c r="U16" s="78"/>
      <c r="V16" s="78"/>
    </row>
    <row r="17" spans="2:22" x14ac:dyDescent="0.25">
      <c r="C17" s="205"/>
      <c r="D17" s="207" t="s">
        <v>165</v>
      </c>
      <c r="E17" s="240">
        <v>4</v>
      </c>
      <c r="F17" s="241">
        <v>4</v>
      </c>
      <c r="G17" s="100">
        <v>44</v>
      </c>
      <c r="U17" s="78"/>
      <c r="V17" s="78"/>
    </row>
    <row r="18" spans="2:22" x14ac:dyDescent="0.25">
      <c r="C18" s="205"/>
      <c r="D18" s="210" t="s">
        <v>166</v>
      </c>
      <c r="E18" s="211">
        <f>E12/E17</f>
        <v>48.913333333333334</v>
      </c>
      <c r="F18" s="211">
        <f>F12/F17</f>
        <v>78.386458333333323</v>
      </c>
      <c r="U18" s="78"/>
      <c r="V18" s="78"/>
    </row>
    <row r="19" spans="2:22" x14ac:dyDescent="0.25">
      <c r="C19" s="194"/>
      <c r="D19" s="195"/>
      <c r="E19" s="196"/>
      <c r="F19" s="163"/>
      <c r="U19" s="78"/>
      <c r="V19" s="78"/>
    </row>
    <row r="20" spans="2:22" x14ac:dyDescent="0.25">
      <c r="C20" s="194"/>
      <c r="D20" s="195"/>
      <c r="E20" s="193"/>
      <c r="U20" s="78"/>
      <c r="V20" s="78"/>
    </row>
    <row r="21" spans="2:22" ht="23.25" x14ac:dyDescent="0.25">
      <c r="C21" s="320" t="s">
        <v>167</v>
      </c>
      <c r="D21" s="320"/>
      <c r="E21" s="320"/>
      <c r="F21" s="320"/>
      <c r="G21" s="320"/>
      <c r="H21" s="320"/>
      <c r="I21" s="320"/>
      <c r="J21" s="320"/>
      <c r="K21" s="320"/>
      <c r="L21" s="320"/>
      <c r="M21" s="320"/>
      <c r="N21" s="320"/>
      <c r="O21" s="320"/>
      <c r="P21" s="320"/>
      <c r="Q21" s="320"/>
    </row>
    <row r="22" spans="2:22" ht="21" x14ac:dyDescent="0.35">
      <c r="C22" s="212" t="s">
        <v>152</v>
      </c>
      <c r="D22" s="213"/>
      <c r="E22" s="213"/>
      <c r="F22" s="213"/>
      <c r="G22" s="213"/>
      <c r="H22" s="213"/>
      <c r="I22" s="214"/>
      <c r="J22" s="214"/>
      <c r="K22" s="214"/>
      <c r="L22" s="214"/>
      <c r="M22" s="214"/>
      <c r="N22" s="214"/>
      <c r="O22" s="214"/>
      <c r="P22" s="214"/>
      <c r="Q22" s="214"/>
    </row>
    <row r="23" spans="2:22" ht="55.7" customHeight="1" x14ac:dyDescent="0.25">
      <c r="C23" s="312" t="s">
        <v>168</v>
      </c>
      <c r="D23" s="312"/>
      <c r="E23" s="312"/>
      <c r="F23" s="312"/>
      <c r="G23" s="312"/>
      <c r="H23" s="312"/>
      <c r="K23" s="312" t="s">
        <v>169</v>
      </c>
      <c r="L23" s="312"/>
      <c r="M23" s="312"/>
      <c r="N23" s="312"/>
      <c r="O23" s="312"/>
      <c r="P23" s="312"/>
      <c r="Q23" s="312"/>
    </row>
    <row r="24" spans="2:22" ht="30.95" customHeight="1" x14ac:dyDescent="0.25">
      <c r="C24" s="5" t="s">
        <v>170</v>
      </c>
      <c r="D24" s="215"/>
      <c r="E24" s="215"/>
      <c r="F24" s="215"/>
      <c r="G24" s="215"/>
      <c r="H24" s="215"/>
      <c r="K24" s="216" t="s">
        <v>170</v>
      </c>
      <c r="L24" s="217"/>
      <c r="M24" s="217"/>
      <c r="N24" s="217"/>
      <c r="O24" s="217"/>
      <c r="P24" s="217"/>
    </row>
    <row r="25" spans="2:22" x14ac:dyDescent="0.25">
      <c r="B25" s="100"/>
      <c r="C25" s="218" t="s">
        <v>171</v>
      </c>
      <c r="D25" s="242">
        <v>25</v>
      </c>
      <c r="E25" s="242">
        <v>50</v>
      </c>
      <c r="F25" s="242">
        <v>100</v>
      </c>
      <c r="G25" s="242">
        <v>500</v>
      </c>
      <c r="H25" s="242">
        <v>1000</v>
      </c>
      <c r="J25" s="100"/>
      <c r="K25" s="218" t="s">
        <v>171</v>
      </c>
      <c r="L25" s="243">
        <f>D25</f>
        <v>25</v>
      </c>
      <c r="M25" s="243">
        <f>E25</f>
        <v>50</v>
      </c>
      <c r="N25" s="243">
        <f>F25</f>
        <v>100</v>
      </c>
      <c r="O25" s="243">
        <f>G25</f>
        <v>500</v>
      </c>
      <c r="P25" s="243">
        <f>H25</f>
        <v>1000</v>
      </c>
      <c r="R25" s="219"/>
    </row>
    <row r="26" spans="2:22" x14ac:dyDescent="0.25">
      <c r="C26" s="208" t="s">
        <v>156</v>
      </c>
      <c r="D26" s="220">
        <f>IF(AND($C$4="User Defined",'Annual Distribution Costs'!$E$34&lt;&gt;0,D$25&lt;=100),D$25/'Annual Distribution Costs'!$E$34*'Annual Distribution Costs'!$E$25,IF(AND($C$4="User Defined",'Annual Distribution Costs'!$F$34&lt;&gt;0,D$25&lt;=100),D$25/'Annual Distribution Costs'!$F$34*'Annual Distribution Costs'!$E$25,IF(AND($C$4="Average",'Annual Distribution Costs'!$F$34&lt;&gt;0,D$25&lt;=100),D$25/'Annual Distribution Costs'!$F$34*'Annual Distribution Costs'!$E$25,IF(AND($C$4="User Defined",'Annual Distribution Costs'!$E$34&lt;&gt;0,D25&gt;100),D$25/'Annual Distribution Costs'!$E$35*'Annual Distribution Costs'!$E$25,IF(AND($C$4="User Defined",'Annual Distribution Costs'!$F$35&lt;&gt;0,D$25&gt;100),D$25/'Annual Distribution Costs'!$F$35*'Annual Distribution Costs'!$E$25,IF(AND($C$4="Average",'Annual Distribution Costs'!$F$35&lt;&gt;0,D$25&gt;100),D$25/'Annual Distribution Costs'!$F$35*'Annual Distribution Costs'!$E$25,"Check Defined"))))))</f>
        <v>20</v>
      </c>
      <c r="E26" s="220">
        <f>IF(AND($C$4="User Defined",'Annual Distribution Costs'!$E$34&lt;&gt;0,E$25&lt;=100),E$25/'Annual Distribution Costs'!$E$34*'Annual Distribution Costs'!$E$25,IF(AND($C$4="User Defined",'Annual Distribution Costs'!$F$34&lt;&gt;0,E$25&lt;=100),E$25/'Annual Distribution Costs'!$F$34*'Annual Distribution Costs'!$E$25,IF(AND($C$4="Average",'Annual Distribution Costs'!$F$34&lt;&gt;0,E$25&lt;=100),E$25/'Annual Distribution Costs'!$F$34*'Annual Distribution Costs'!$E$25,IF(AND($C$4="User Defined",'Annual Distribution Costs'!$E$34&lt;&gt;0,E25&gt;100),E$25/'Annual Distribution Costs'!$E$35*'Annual Distribution Costs'!$E$25,IF(AND($C$4="User Defined",'Annual Distribution Costs'!$F$35&lt;&gt;0,E$25&gt;100),E$25/'Annual Distribution Costs'!$F$35*'Annual Distribution Costs'!$E$25,IF(AND($C$4="Average",'Annual Distribution Costs'!$F$35&lt;&gt;0,E$25&gt;100),E$25/'Annual Distribution Costs'!$F$35*'Annual Distribution Costs'!$E$25,"Check Defined"))))))</f>
        <v>40</v>
      </c>
      <c r="F26" s="220">
        <f>IF(AND($C$4="User Defined",'Annual Distribution Costs'!$E$34&lt;&gt;0,F$25&lt;=100),F$25/'Annual Distribution Costs'!$E$34*'Annual Distribution Costs'!$E$25,IF(AND($C$4="User Defined",'Annual Distribution Costs'!$F$34&lt;&gt;0,F$25&lt;=100),F$25/'Annual Distribution Costs'!$F$34*'Annual Distribution Costs'!$E$25,IF(AND($C$4="Average",'Annual Distribution Costs'!$F$34&lt;&gt;0,F$25&lt;=100),F$25/'Annual Distribution Costs'!$F$34*'Annual Distribution Costs'!$E$25,IF(AND($C$4="User Defined",'Annual Distribution Costs'!$E$34&lt;&gt;0,F25&gt;100),F$25/'Annual Distribution Costs'!$E$35*'Annual Distribution Costs'!$E$25,IF(AND($C$4="User Defined",'Annual Distribution Costs'!$F$35&lt;&gt;0,F$25&gt;100),F$25/'Annual Distribution Costs'!$F$35*'Annual Distribution Costs'!$E$25,IF(AND($C$4="Average",'Annual Distribution Costs'!$F$35&lt;&gt;0,F$25&gt;100),F$25/'Annual Distribution Costs'!$F$35*'Annual Distribution Costs'!$E$25,"Check Defined"))))))</f>
        <v>80</v>
      </c>
      <c r="G26" s="220">
        <f>IF(AND($C$4="User Defined",'Annual Distribution Costs'!$E$34&lt;&gt;0,G$25&lt;=100),G$25/'Annual Distribution Costs'!$E$34*'Annual Distribution Costs'!$E$25,IF(AND($C$4="User Defined",'Annual Distribution Costs'!$F$34&lt;&gt;0,G$25&lt;=100),G$25/'Annual Distribution Costs'!$F$34*'Annual Distribution Costs'!$E$25,IF(AND($C$4="Average",'Annual Distribution Costs'!$F$34&lt;&gt;0,G$25&lt;=100),G$25/'Annual Distribution Costs'!$F$34*'Annual Distribution Costs'!$E$25,IF(AND($C$4="User Defined",'Annual Distribution Costs'!$E$34&lt;&gt;0,G25&gt;100),G$25/'Annual Distribution Costs'!$E$35*'Annual Distribution Costs'!$E$25,IF(AND($C$4="User Defined",'Annual Distribution Costs'!$F$35&lt;&gt;0,G$25&gt;100),G$25/'Annual Distribution Costs'!$F$35*'Annual Distribution Costs'!$E$25,IF(AND($C$4="Average",'Annual Distribution Costs'!$F$35&lt;&gt;0,G$25&gt;100),G$25/'Annual Distribution Costs'!$F$35*'Annual Distribution Costs'!$E$25,"Check Defined"))))))</f>
        <v>240</v>
      </c>
      <c r="H26" s="220">
        <f>IF(AND($C$4="User Defined",'Annual Distribution Costs'!$E$34&lt;&gt;0,H$25&lt;=100),H$25/'Annual Distribution Costs'!$E$34*'Annual Distribution Costs'!$E$25,IF(AND($C$4="User Defined",'Annual Distribution Costs'!$F$34&lt;&gt;0,H$25&lt;=100),H$25/'Annual Distribution Costs'!$F$34*'Annual Distribution Costs'!$E$25,IF(AND($C$4="Average",'Annual Distribution Costs'!$F$34&lt;&gt;0,H$25&lt;=100),H$25/'Annual Distribution Costs'!$F$34*'Annual Distribution Costs'!$E$25,IF(AND($C$4="User Defined",'Annual Distribution Costs'!$E$34&lt;&gt;0,H25&gt;100),H$25/'Annual Distribution Costs'!$E$35*'Annual Distribution Costs'!$E$25,IF(AND($C$4="User Defined",'Annual Distribution Costs'!$F$35&lt;&gt;0,H$25&gt;100),H$25/'Annual Distribution Costs'!$F$35*'Annual Distribution Costs'!$E$25,IF(AND($C$4="Average",'Annual Distribution Costs'!$F$35&lt;&gt;0,H$25&gt;100),H$25/'Annual Distribution Costs'!$F$35*'Annual Distribution Costs'!$E$25,"Check Defined"))))))</f>
        <v>480</v>
      </c>
      <c r="K26" s="208" t="s">
        <v>156</v>
      </c>
      <c r="L26" s="220">
        <f>D26</f>
        <v>20</v>
      </c>
      <c r="M26" s="220">
        <f t="shared" ref="M26:P28" si="0">E26</f>
        <v>40</v>
      </c>
      <c r="N26" s="220">
        <f t="shared" si="0"/>
        <v>80</v>
      </c>
      <c r="O26" s="220">
        <f t="shared" si="0"/>
        <v>240</v>
      </c>
      <c r="P26" s="220">
        <f t="shared" si="0"/>
        <v>480</v>
      </c>
      <c r="R26" s="221"/>
    </row>
    <row r="27" spans="2:22" x14ac:dyDescent="0.25">
      <c r="C27" s="208" t="s">
        <v>158</v>
      </c>
      <c r="D27" s="222">
        <f>IF($C$4="User Defined",'Annual Distribution Costs'!$E$69*D$25,'Annual Distribution Costs'!$F$69*D$25)</f>
        <v>32.466666666666669</v>
      </c>
      <c r="E27" s="222">
        <f>IF($C$4="User Defined",'Annual Distribution Costs'!$E$69*E$25,'Annual Distribution Costs'!$F$69*E$25)</f>
        <v>64.933333333333337</v>
      </c>
      <c r="F27" s="222">
        <f>IF($C$4="User Defined",'Annual Distribution Costs'!$E$69*F$25,'Annual Distribution Costs'!$F$69*F$25)</f>
        <v>129.86666666666667</v>
      </c>
      <c r="G27" s="222">
        <f>IF($C$4="User Defined",'Annual Distribution Costs'!$E$69*G$25,'Annual Distribution Costs'!$F$69*G$25)</f>
        <v>649.33333333333337</v>
      </c>
      <c r="H27" s="222">
        <f>IF($C$4="User Defined",'Annual Distribution Costs'!$E$69*H$25,'Annual Distribution Costs'!$F$69*H$25)</f>
        <v>1298.6666666666667</v>
      </c>
      <c r="K27" s="208" t="s">
        <v>158</v>
      </c>
      <c r="L27" s="220">
        <f t="shared" ref="L27:L28" si="1">D27</f>
        <v>32.466666666666669</v>
      </c>
      <c r="M27" s="220">
        <f t="shared" si="0"/>
        <v>64.933333333333337</v>
      </c>
      <c r="N27" s="220">
        <f t="shared" si="0"/>
        <v>129.86666666666667</v>
      </c>
      <c r="O27" s="220">
        <f t="shared" si="0"/>
        <v>649.33333333333337</v>
      </c>
      <c r="P27" s="220">
        <f t="shared" si="0"/>
        <v>1298.6666666666667</v>
      </c>
      <c r="R27" s="221"/>
    </row>
    <row r="28" spans="2:22" ht="15.75" thickBot="1" x14ac:dyDescent="0.3">
      <c r="C28" s="208" t="s">
        <v>159</v>
      </c>
      <c r="D28" s="220">
        <f>D26+D27</f>
        <v>52.466666666666669</v>
      </c>
      <c r="E28" s="220">
        <f t="shared" ref="E28:H28" si="2">E26+E27</f>
        <v>104.93333333333334</v>
      </c>
      <c r="F28" s="220">
        <f t="shared" si="2"/>
        <v>209.86666666666667</v>
      </c>
      <c r="G28" s="220">
        <f t="shared" si="2"/>
        <v>889.33333333333337</v>
      </c>
      <c r="H28" s="220">
        <f t="shared" si="2"/>
        <v>1778.6666666666667</v>
      </c>
      <c r="K28" s="208" t="s">
        <v>159</v>
      </c>
      <c r="L28" s="220">
        <f t="shared" si="1"/>
        <v>52.466666666666669</v>
      </c>
      <c r="M28" s="220">
        <f t="shared" si="0"/>
        <v>104.93333333333334</v>
      </c>
      <c r="N28" s="220">
        <f t="shared" si="0"/>
        <v>209.86666666666667</v>
      </c>
      <c r="O28" s="220">
        <f t="shared" si="0"/>
        <v>889.33333333333337</v>
      </c>
      <c r="P28" s="220">
        <f t="shared" si="0"/>
        <v>1778.6666666666667</v>
      </c>
      <c r="R28" s="221"/>
    </row>
    <row r="29" spans="2:22" ht="14.45" customHeight="1" x14ac:dyDescent="0.25">
      <c r="B29" s="321" t="s">
        <v>172</v>
      </c>
      <c r="C29" s="223">
        <v>0.01</v>
      </c>
      <c r="D29" s="224">
        <f t="shared" ref="D29:H36" si="3">D$28/$C29</f>
        <v>5246.666666666667</v>
      </c>
      <c r="E29" s="224">
        <f t="shared" si="3"/>
        <v>10493.333333333334</v>
      </c>
      <c r="F29" s="224">
        <f t="shared" si="3"/>
        <v>20986.666666666668</v>
      </c>
      <c r="G29" s="224">
        <f t="shared" si="3"/>
        <v>88933.333333333328</v>
      </c>
      <c r="H29" s="224">
        <f t="shared" si="3"/>
        <v>177866.66666666666</v>
      </c>
      <c r="J29" s="324" t="s">
        <v>173</v>
      </c>
      <c r="K29" s="225">
        <v>1</v>
      </c>
      <c r="L29" s="226">
        <f t="shared" ref="L29:P41" si="4">L$28/$K29</f>
        <v>52.466666666666669</v>
      </c>
      <c r="M29" s="226">
        <f t="shared" si="4"/>
        <v>104.93333333333334</v>
      </c>
      <c r="N29" s="226">
        <f t="shared" si="4"/>
        <v>209.86666666666667</v>
      </c>
      <c r="O29" s="226">
        <f t="shared" si="4"/>
        <v>889.33333333333337</v>
      </c>
      <c r="P29" s="226">
        <f t="shared" si="4"/>
        <v>1778.6666666666667</v>
      </c>
      <c r="Q29" s="327" t="s">
        <v>174</v>
      </c>
      <c r="R29" s="221"/>
    </row>
    <row r="30" spans="2:22" x14ac:dyDescent="0.25">
      <c r="B30" s="322"/>
      <c r="C30" s="227">
        <v>0.02</v>
      </c>
      <c r="D30" s="224">
        <f t="shared" si="3"/>
        <v>2623.3333333333335</v>
      </c>
      <c r="E30" s="224">
        <f t="shared" si="3"/>
        <v>5246.666666666667</v>
      </c>
      <c r="F30" s="224">
        <f t="shared" si="3"/>
        <v>10493.333333333334</v>
      </c>
      <c r="G30" s="224">
        <f t="shared" si="3"/>
        <v>44466.666666666664</v>
      </c>
      <c r="H30" s="224">
        <f t="shared" si="3"/>
        <v>88933.333333333328</v>
      </c>
      <c r="J30" s="325"/>
      <c r="K30" s="228">
        <v>1.25</v>
      </c>
      <c r="L30" s="229">
        <f t="shared" si="4"/>
        <v>41.973333333333336</v>
      </c>
      <c r="M30" s="229">
        <f t="shared" si="4"/>
        <v>83.946666666666673</v>
      </c>
      <c r="N30" s="229">
        <f t="shared" si="4"/>
        <v>167.89333333333335</v>
      </c>
      <c r="O30" s="229">
        <f t="shared" si="4"/>
        <v>711.4666666666667</v>
      </c>
      <c r="P30" s="229">
        <f t="shared" si="4"/>
        <v>1422.9333333333334</v>
      </c>
      <c r="Q30" s="328"/>
      <c r="R30" s="221"/>
    </row>
    <row r="31" spans="2:22" x14ac:dyDescent="0.25">
      <c r="B31" s="322"/>
      <c r="C31" s="227">
        <v>0.03</v>
      </c>
      <c r="D31" s="224">
        <f t="shared" si="3"/>
        <v>1748.8888888888889</v>
      </c>
      <c r="E31" s="224">
        <f t="shared" si="3"/>
        <v>3497.7777777777778</v>
      </c>
      <c r="F31" s="224">
        <f t="shared" si="3"/>
        <v>6995.5555555555557</v>
      </c>
      <c r="G31" s="224">
        <f t="shared" si="3"/>
        <v>29644.444444444445</v>
      </c>
      <c r="H31" s="224">
        <f t="shared" si="3"/>
        <v>59288.888888888891</v>
      </c>
      <c r="J31" s="325"/>
      <c r="K31" s="228">
        <v>1.5</v>
      </c>
      <c r="L31" s="229">
        <f t="shared" si="4"/>
        <v>34.977777777777781</v>
      </c>
      <c r="M31" s="229">
        <f t="shared" si="4"/>
        <v>69.955555555555563</v>
      </c>
      <c r="N31" s="229">
        <f t="shared" si="4"/>
        <v>139.91111111111113</v>
      </c>
      <c r="O31" s="229">
        <f t="shared" si="4"/>
        <v>592.88888888888891</v>
      </c>
      <c r="P31" s="229">
        <f t="shared" si="4"/>
        <v>1185.7777777777778</v>
      </c>
      <c r="Q31" s="328"/>
      <c r="R31" s="221"/>
    </row>
    <row r="32" spans="2:22" x14ac:dyDescent="0.25">
      <c r="B32" s="322"/>
      <c r="C32" s="227">
        <v>0.04</v>
      </c>
      <c r="D32" s="224">
        <f t="shared" si="3"/>
        <v>1311.6666666666667</v>
      </c>
      <c r="E32" s="224">
        <f t="shared" si="3"/>
        <v>2623.3333333333335</v>
      </c>
      <c r="F32" s="224">
        <f t="shared" si="3"/>
        <v>5246.666666666667</v>
      </c>
      <c r="G32" s="224">
        <f t="shared" si="3"/>
        <v>22233.333333333332</v>
      </c>
      <c r="H32" s="224">
        <f t="shared" si="3"/>
        <v>44466.666666666664</v>
      </c>
      <c r="J32" s="325"/>
      <c r="K32" s="228">
        <v>1.75</v>
      </c>
      <c r="L32" s="229">
        <f t="shared" si="4"/>
        <v>29.980952380952381</v>
      </c>
      <c r="M32" s="229">
        <f t="shared" si="4"/>
        <v>59.961904761904762</v>
      </c>
      <c r="N32" s="229">
        <f t="shared" si="4"/>
        <v>119.92380952380952</v>
      </c>
      <c r="O32" s="229">
        <f t="shared" si="4"/>
        <v>508.1904761904762</v>
      </c>
      <c r="P32" s="229">
        <f t="shared" si="4"/>
        <v>1016.3809523809524</v>
      </c>
      <c r="Q32" s="328"/>
      <c r="R32" s="221"/>
    </row>
    <row r="33" spans="2:22" x14ac:dyDescent="0.25">
      <c r="B33" s="322"/>
      <c r="C33" s="227">
        <v>0.05</v>
      </c>
      <c r="D33" s="224">
        <f t="shared" si="3"/>
        <v>1049.3333333333333</v>
      </c>
      <c r="E33" s="224">
        <f t="shared" si="3"/>
        <v>2098.6666666666665</v>
      </c>
      <c r="F33" s="224">
        <f t="shared" si="3"/>
        <v>4197.333333333333</v>
      </c>
      <c r="G33" s="224">
        <f t="shared" si="3"/>
        <v>17786.666666666668</v>
      </c>
      <c r="H33" s="224">
        <f t="shared" si="3"/>
        <v>35573.333333333336</v>
      </c>
      <c r="J33" s="325"/>
      <c r="K33" s="228">
        <v>2</v>
      </c>
      <c r="L33" s="229">
        <f t="shared" si="4"/>
        <v>26.233333333333334</v>
      </c>
      <c r="M33" s="229">
        <f t="shared" si="4"/>
        <v>52.466666666666669</v>
      </c>
      <c r="N33" s="229">
        <f t="shared" si="4"/>
        <v>104.93333333333334</v>
      </c>
      <c r="O33" s="229">
        <f t="shared" si="4"/>
        <v>444.66666666666669</v>
      </c>
      <c r="P33" s="229">
        <f t="shared" si="4"/>
        <v>889.33333333333337</v>
      </c>
      <c r="Q33" s="328"/>
      <c r="R33" s="221"/>
      <c r="S33" s="205"/>
    </row>
    <row r="34" spans="2:22" x14ac:dyDescent="0.25">
      <c r="B34" s="322"/>
      <c r="C34" s="227">
        <v>0.1</v>
      </c>
      <c r="D34" s="224">
        <f t="shared" si="3"/>
        <v>524.66666666666663</v>
      </c>
      <c r="E34" s="224">
        <f t="shared" si="3"/>
        <v>1049.3333333333333</v>
      </c>
      <c r="F34" s="224">
        <f t="shared" si="3"/>
        <v>2098.6666666666665</v>
      </c>
      <c r="G34" s="224">
        <f t="shared" si="3"/>
        <v>8893.3333333333339</v>
      </c>
      <c r="H34" s="224">
        <f t="shared" si="3"/>
        <v>17786.666666666668</v>
      </c>
      <c r="J34" s="325"/>
      <c r="K34" s="228">
        <v>2.25</v>
      </c>
      <c r="L34" s="229">
        <f t="shared" si="4"/>
        <v>23.31851851851852</v>
      </c>
      <c r="M34" s="229">
        <f t="shared" si="4"/>
        <v>46.63703703703704</v>
      </c>
      <c r="N34" s="229">
        <f t="shared" si="4"/>
        <v>93.274074074074079</v>
      </c>
      <c r="O34" s="229">
        <f t="shared" si="4"/>
        <v>395.2592592592593</v>
      </c>
      <c r="P34" s="229">
        <f t="shared" si="4"/>
        <v>790.51851851851859</v>
      </c>
      <c r="Q34" s="328"/>
      <c r="R34" s="221"/>
      <c r="S34" s="205"/>
    </row>
    <row r="35" spans="2:22" x14ac:dyDescent="0.25">
      <c r="B35" s="322"/>
      <c r="C35" s="227">
        <v>0.15</v>
      </c>
      <c r="D35" s="224">
        <f t="shared" si="3"/>
        <v>349.77777777777783</v>
      </c>
      <c r="E35" s="224">
        <f t="shared" si="3"/>
        <v>699.55555555555566</v>
      </c>
      <c r="F35" s="224">
        <f t="shared" si="3"/>
        <v>1399.1111111111113</v>
      </c>
      <c r="G35" s="224">
        <f t="shared" si="3"/>
        <v>5928.8888888888896</v>
      </c>
      <c r="H35" s="224">
        <f t="shared" si="3"/>
        <v>11857.777777777779</v>
      </c>
      <c r="J35" s="325"/>
      <c r="K35" s="228">
        <v>2.5</v>
      </c>
      <c r="L35" s="229">
        <f t="shared" si="4"/>
        <v>20.986666666666668</v>
      </c>
      <c r="M35" s="229">
        <f t="shared" si="4"/>
        <v>41.973333333333336</v>
      </c>
      <c r="N35" s="229">
        <f t="shared" si="4"/>
        <v>83.946666666666673</v>
      </c>
      <c r="O35" s="229">
        <f t="shared" si="4"/>
        <v>355.73333333333335</v>
      </c>
      <c r="P35" s="229">
        <f t="shared" si="4"/>
        <v>711.4666666666667</v>
      </c>
      <c r="Q35" s="328"/>
      <c r="R35" s="221"/>
      <c r="S35" s="205"/>
      <c r="T35" s="205"/>
      <c r="U35" s="205"/>
      <c r="V35" s="205"/>
    </row>
    <row r="36" spans="2:22" ht="15.75" thickBot="1" x14ac:dyDescent="0.3">
      <c r="B36" s="323"/>
      <c r="C36" s="230">
        <v>0.25</v>
      </c>
      <c r="D36" s="224">
        <f t="shared" si="3"/>
        <v>209.86666666666667</v>
      </c>
      <c r="E36" s="224">
        <f t="shared" si="3"/>
        <v>419.73333333333335</v>
      </c>
      <c r="F36" s="224">
        <f t="shared" si="3"/>
        <v>839.4666666666667</v>
      </c>
      <c r="G36" s="224">
        <f t="shared" si="3"/>
        <v>3557.3333333333335</v>
      </c>
      <c r="H36" s="224">
        <f t="shared" si="3"/>
        <v>7114.666666666667</v>
      </c>
      <c r="J36" s="325"/>
      <c r="K36" s="228">
        <v>2.75</v>
      </c>
      <c r="L36" s="229">
        <f t="shared" si="4"/>
        <v>19.078787878787878</v>
      </c>
      <c r="M36" s="229">
        <f t="shared" si="4"/>
        <v>38.157575757575756</v>
      </c>
      <c r="N36" s="229">
        <f t="shared" si="4"/>
        <v>76.315151515151513</v>
      </c>
      <c r="O36" s="229">
        <f t="shared" si="4"/>
        <v>323.39393939393943</v>
      </c>
      <c r="P36" s="229">
        <f t="shared" si="4"/>
        <v>646.78787878787887</v>
      </c>
      <c r="Q36" s="328"/>
      <c r="R36" s="221"/>
      <c r="S36" s="205"/>
      <c r="T36" s="205"/>
      <c r="U36" s="205"/>
      <c r="V36" s="205"/>
    </row>
    <row r="37" spans="2:22" x14ac:dyDescent="0.25">
      <c r="J37" s="325"/>
      <c r="K37" s="228">
        <v>3</v>
      </c>
      <c r="L37" s="229">
        <f t="shared" si="4"/>
        <v>17.488888888888891</v>
      </c>
      <c r="M37" s="229">
        <f t="shared" si="4"/>
        <v>34.977777777777781</v>
      </c>
      <c r="N37" s="229">
        <f t="shared" si="4"/>
        <v>69.955555555555563</v>
      </c>
      <c r="O37" s="229">
        <f t="shared" si="4"/>
        <v>296.44444444444446</v>
      </c>
      <c r="P37" s="229">
        <f t="shared" si="4"/>
        <v>592.88888888888891</v>
      </c>
      <c r="Q37" s="328"/>
      <c r="R37" s="221"/>
      <c r="S37" s="205"/>
      <c r="T37" s="205"/>
      <c r="U37" s="205"/>
      <c r="V37" s="205"/>
    </row>
    <row r="38" spans="2:22" x14ac:dyDescent="0.25">
      <c r="H38" s="231"/>
      <c r="J38" s="325"/>
      <c r="K38" s="228">
        <v>3.25</v>
      </c>
      <c r="L38" s="229">
        <f t="shared" si="4"/>
        <v>16.143589743589743</v>
      </c>
      <c r="M38" s="229">
        <f t="shared" si="4"/>
        <v>32.287179487179486</v>
      </c>
      <c r="N38" s="229">
        <f t="shared" si="4"/>
        <v>64.574358974358972</v>
      </c>
      <c r="O38" s="229">
        <f t="shared" si="4"/>
        <v>273.64102564102564</v>
      </c>
      <c r="P38" s="229">
        <f t="shared" si="4"/>
        <v>547.28205128205127</v>
      </c>
      <c r="Q38" s="328"/>
      <c r="R38" s="221"/>
      <c r="S38" s="205"/>
      <c r="T38" s="205"/>
      <c r="U38" s="205"/>
      <c r="V38" s="205"/>
    </row>
    <row r="39" spans="2:22" x14ac:dyDescent="0.25">
      <c r="H39" s="231"/>
      <c r="J39" s="325"/>
      <c r="K39" s="228">
        <v>3.5</v>
      </c>
      <c r="L39" s="229">
        <f t="shared" si="4"/>
        <v>14.990476190476191</v>
      </c>
      <c r="M39" s="229">
        <f t="shared" si="4"/>
        <v>29.980952380952381</v>
      </c>
      <c r="N39" s="229">
        <f t="shared" si="4"/>
        <v>59.961904761904762</v>
      </c>
      <c r="O39" s="229">
        <f t="shared" si="4"/>
        <v>254.0952380952381</v>
      </c>
      <c r="P39" s="229">
        <f t="shared" si="4"/>
        <v>508.1904761904762</v>
      </c>
      <c r="Q39" s="328"/>
    </row>
    <row r="40" spans="2:22" x14ac:dyDescent="0.25">
      <c r="H40" s="231"/>
      <c r="J40" s="325"/>
      <c r="K40" s="228">
        <v>3.75</v>
      </c>
      <c r="L40" s="229">
        <f t="shared" si="4"/>
        <v>13.991111111111111</v>
      </c>
      <c r="M40" s="229">
        <f t="shared" si="4"/>
        <v>27.982222222222223</v>
      </c>
      <c r="N40" s="229">
        <f t="shared" si="4"/>
        <v>55.964444444444446</v>
      </c>
      <c r="O40" s="229">
        <f t="shared" si="4"/>
        <v>237.15555555555557</v>
      </c>
      <c r="P40" s="229">
        <f t="shared" si="4"/>
        <v>474.31111111111113</v>
      </c>
      <c r="Q40" s="328"/>
    </row>
    <row r="41" spans="2:22" ht="15.75" thickBot="1" x14ac:dyDescent="0.3">
      <c r="H41" s="231"/>
      <c r="J41" s="326"/>
      <c r="K41" s="232">
        <v>4</v>
      </c>
      <c r="L41" s="233">
        <f t="shared" si="4"/>
        <v>13.116666666666667</v>
      </c>
      <c r="M41" s="233">
        <f t="shared" si="4"/>
        <v>26.233333333333334</v>
      </c>
      <c r="N41" s="233">
        <f t="shared" si="4"/>
        <v>52.466666666666669</v>
      </c>
      <c r="O41" s="233">
        <f t="shared" si="4"/>
        <v>222.33333333333334</v>
      </c>
      <c r="P41" s="233">
        <f t="shared" si="4"/>
        <v>444.66666666666669</v>
      </c>
      <c r="Q41" s="329"/>
    </row>
    <row r="42" spans="2:22" x14ac:dyDescent="0.25">
      <c r="H42" s="231"/>
    </row>
    <row r="43" spans="2:22" ht="21" x14ac:dyDescent="0.35">
      <c r="C43" s="212" t="s">
        <v>153</v>
      </c>
      <c r="D43" s="214"/>
      <c r="E43" s="214"/>
      <c r="F43" s="214"/>
      <c r="G43" s="214"/>
      <c r="H43" s="213"/>
      <c r="I43" s="214"/>
      <c r="J43" s="214"/>
      <c r="K43" s="214"/>
      <c r="L43" s="214"/>
      <c r="M43" s="214"/>
      <c r="N43" s="214"/>
      <c r="O43" s="214"/>
      <c r="P43" s="214"/>
      <c r="Q43" s="214"/>
    </row>
    <row r="44" spans="2:22" ht="42.95" customHeight="1" x14ac:dyDescent="0.25">
      <c r="C44" s="312" t="s">
        <v>175</v>
      </c>
      <c r="D44" s="312"/>
      <c r="E44" s="312"/>
      <c r="F44" s="312"/>
      <c r="G44" s="312"/>
      <c r="H44" s="312"/>
      <c r="K44" s="312" t="s">
        <v>169</v>
      </c>
      <c r="L44" s="312"/>
      <c r="M44" s="312"/>
      <c r="N44" s="312"/>
      <c r="O44" s="312"/>
      <c r="P44" s="312"/>
      <c r="Q44" s="312"/>
    </row>
    <row r="45" spans="2:22" x14ac:dyDescent="0.25">
      <c r="C45" s="216" t="s">
        <v>170</v>
      </c>
      <c r="D45" s="217"/>
      <c r="E45" s="217"/>
      <c r="F45" s="217"/>
      <c r="G45" s="217"/>
      <c r="H45" s="217"/>
      <c r="K45" s="216" t="s">
        <v>170</v>
      </c>
      <c r="L45" s="217"/>
      <c r="M45" s="217"/>
      <c r="N45" s="217"/>
      <c r="O45" s="217"/>
      <c r="P45" s="217"/>
    </row>
    <row r="46" spans="2:22" x14ac:dyDescent="0.25">
      <c r="B46" s="100"/>
      <c r="C46" s="218" t="s">
        <v>171</v>
      </c>
      <c r="D46" s="242">
        <v>25</v>
      </c>
      <c r="E46" s="242">
        <v>50</v>
      </c>
      <c r="F46" s="242">
        <v>100</v>
      </c>
      <c r="G46" s="242">
        <v>500</v>
      </c>
      <c r="H46" s="242">
        <v>1000</v>
      </c>
      <c r="J46" s="100"/>
      <c r="K46" s="218" t="s">
        <v>171</v>
      </c>
      <c r="L46" s="243">
        <f>D46</f>
        <v>25</v>
      </c>
      <c r="M46" s="243">
        <f t="shared" ref="M46:P46" si="5">E46</f>
        <v>50</v>
      </c>
      <c r="N46" s="243">
        <f t="shared" si="5"/>
        <v>100</v>
      </c>
      <c r="O46" s="243">
        <f t="shared" si="5"/>
        <v>500</v>
      </c>
      <c r="P46" s="243">
        <f t="shared" si="5"/>
        <v>1000</v>
      </c>
    </row>
    <row r="47" spans="2:22" x14ac:dyDescent="0.25">
      <c r="C47" s="234" t="s">
        <v>156</v>
      </c>
      <c r="D47" s="235">
        <f>IF(AND($C$4="User Defined",'Annual Distribution Costs'!$H$34&lt;&gt;0,D$46&lt;=100),D$46/'Annual Distribution Costs'!$H$34*'Annual Distribution Costs'!$E$25,IF(AND($C$4="User Defined",'Annual Distribution Costs'!$I$34&lt;&gt;0,D$46&lt;=100),D$46/'Annual Distribution Costs'!$I$34*'Annual Distribution Costs'!$E$25,IF(AND($C$4="Average",'Annual Distribution Costs'!$I$34&lt;&gt;0,D$46&lt;=100),D$46/'Annual Distribution Costs'!$I$34*'Annual Distribution Costs'!$E$25,IF(AND($C$4="User Defined",'Annual Distribution Costs'!$H$35&lt;&gt;0,D$46&gt;100),D$46/'Annual Distribution Costs'!$H$35*'Annual Distribution Costs'!$E$25,IF(AND($C$4="User Defined",'Annual Distribution Costs'!$I$35&lt;&gt;0,D$46&gt;100),D$46/'Annual Distribution Costs'!$I$35*'Annual Distribution Costs'!$E$25,IF(AND($C$4="Average",'Annual Distribution Costs'!$I$35&lt;&gt;0,D$46&gt;100),D$46/'Annual Distribution Costs'!$I$35*'Annual Distribution Costs'!$E$25,"Check Defined"))))))</f>
        <v>20</v>
      </c>
      <c r="E47" s="235">
        <f>IF(AND($C$4="User Defined",'Annual Distribution Costs'!$H$34&lt;&gt;0,E$46&lt;=100),E$46/'Annual Distribution Costs'!$H$34*'Annual Distribution Costs'!$E$25,IF(AND($C$4="User Defined",'Annual Distribution Costs'!$I$34&lt;&gt;0,E$46&lt;=100),E$46/'Annual Distribution Costs'!$I$34*'Annual Distribution Costs'!$E$25,IF(AND($C$4="Average",'Annual Distribution Costs'!$I$34&lt;&gt;0,E$46&lt;=100),E$46/'Annual Distribution Costs'!$I$34*'Annual Distribution Costs'!$E$25,IF(AND($C$4="User Defined",'Annual Distribution Costs'!$H$35&lt;&gt;0,E$46&gt;100),E$46/'Annual Distribution Costs'!$H$35*'Annual Distribution Costs'!$E$25,IF(AND($C$4="User Defined",'Annual Distribution Costs'!$I$35&lt;&gt;0,E$46&gt;100),E$46/'Annual Distribution Costs'!$I$35*'Annual Distribution Costs'!$E$25,IF(AND($C$4="Average",'Annual Distribution Costs'!$I$35&lt;&gt;0,E$46&gt;100),E$46/'Annual Distribution Costs'!$I$35*'Annual Distribution Costs'!$E$25,"Check Defined"))))))</f>
        <v>40</v>
      </c>
      <c r="F47" s="235">
        <f>IF(AND($C$4="User Defined",'Annual Distribution Costs'!$H$34&lt;&gt;0,F$46&lt;=100),F$46/'Annual Distribution Costs'!$H$34*'Annual Distribution Costs'!$E$25,IF(AND($C$4="User Defined",'Annual Distribution Costs'!$I$34&lt;&gt;0,F$46&lt;=100),F$46/'Annual Distribution Costs'!$I$34*'Annual Distribution Costs'!$E$25,IF(AND($C$4="Average",'Annual Distribution Costs'!$I$34&lt;&gt;0,F$46&lt;=100),F$46/'Annual Distribution Costs'!$I$34*'Annual Distribution Costs'!$E$25,IF(AND($C$4="User Defined",'Annual Distribution Costs'!$H$35&lt;&gt;0,F$46&gt;100),F$46/'Annual Distribution Costs'!$H$35*'Annual Distribution Costs'!$E$25,IF(AND($C$4="User Defined",'Annual Distribution Costs'!$I$35&lt;&gt;0,F$46&gt;100),F$46/'Annual Distribution Costs'!$I$35*'Annual Distribution Costs'!$E$25,IF(AND($C$4="Average",'Annual Distribution Costs'!$I$35&lt;&gt;0,F$46&gt;100),F$46/'Annual Distribution Costs'!$I$35*'Annual Distribution Costs'!$E$25,"Check Defined"))))))</f>
        <v>80</v>
      </c>
      <c r="G47" s="235">
        <f>IF(AND($C$4="User Defined",'Annual Distribution Costs'!$H$34&lt;&gt;0,G$46&lt;=100),G$46/'Annual Distribution Costs'!$H$34*'Annual Distribution Costs'!$E$25,IF(AND($C$4="User Defined",'Annual Distribution Costs'!$I$34&lt;&gt;0,G$46&lt;=100),G$46/'Annual Distribution Costs'!$I$34*'Annual Distribution Costs'!$E$25,IF(AND($C$4="Average",'Annual Distribution Costs'!$I$34&lt;&gt;0,G$46&lt;=100),G$46/'Annual Distribution Costs'!$I$34*'Annual Distribution Costs'!$E$25,IF(AND($C$4="User Defined",'Annual Distribution Costs'!$H$35&lt;&gt;0,G$46&gt;100),G$46/'Annual Distribution Costs'!$H$35*'Annual Distribution Costs'!$E$25,IF(AND($C$4="User Defined",'Annual Distribution Costs'!$I$35&lt;&gt;0,G$46&gt;100),G$46/'Annual Distribution Costs'!$I$35*'Annual Distribution Costs'!$E$25,IF(AND($C$4="Average",'Annual Distribution Costs'!$I$35&lt;&gt;0,G$46&gt;100),G$46/'Annual Distribution Costs'!$I$35*'Annual Distribution Costs'!$E$25,"Check Defined"))))))</f>
        <v>240</v>
      </c>
      <c r="H47" s="235">
        <f>IF(AND($C$4="User Defined",'Annual Distribution Costs'!$H$34&lt;&gt;0,H$46&lt;=100),H$46/'Annual Distribution Costs'!$H$34*'Annual Distribution Costs'!$E$25,IF(AND($C$4="User Defined",'Annual Distribution Costs'!$I$34&lt;&gt;0,H$46&lt;=100),H$46/'Annual Distribution Costs'!$I$34*'Annual Distribution Costs'!$E$25,IF(AND($C$4="Average",'Annual Distribution Costs'!$I$34&lt;&gt;0,H$46&lt;=100),H$46/'Annual Distribution Costs'!$I$34*'Annual Distribution Costs'!$E$25,IF(AND($C$4="User Defined",'Annual Distribution Costs'!$H$35&lt;&gt;0,H$46&gt;100),H$46/'Annual Distribution Costs'!$H$35*'Annual Distribution Costs'!$E$25,IF(AND($C$4="User Defined",'Annual Distribution Costs'!$I$35&lt;&gt;0,H$46&gt;100),H$46/'Annual Distribution Costs'!$I$35*'Annual Distribution Costs'!$E$25,IF(AND($C$4="Average",'Annual Distribution Costs'!$I$35&lt;&gt;0,H$46&gt;100),H$46/'Annual Distribution Costs'!$I$35*'Annual Distribution Costs'!$E$25,"Check Defined"))))))</f>
        <v>480</v>
      </c>
      <c r="K47" s="208" t="s">
        <v>156</v>
      </c>
      <c r="L47" s="235">
        <f>D47</f>
        <v>20</v>
      </c>
      <c r="M47" s="235">
        <f t="shared" ref="M47:M49" si="6">E47</f>
        <v>40</v>
      </c>
      <c r="N47" s="235">
        <f t="shared" ref="N47:N49" si="7">F47</f>
        <v>80</v>
      </c>
      <c r="O47" s="235">
        <f t="shared" ref="O47:O49" si="8">G47</f>
        <v>240</v>
      </c>
      <c r="P47" s="235">
        <f t="shared" ref="P47:P49" si="9">H47</f>
        <v>480</v>
      </c>
    </row>
    <row r="48" spans="2:22" x14ac:dyDescent="0.25">
      <c r="C48" s="208" t="s">
        <v>158</v>
      </c>
      <c r="D48" s="236">
        <f>IF($C$4="User Defined",'Annual Distribution Costs'!$H$72*D$46,'Annual Distribution Costs'!$I$72*D$46)</f>
        <v>59.260416666666657</v>
      </c>
      <c r="E48" s="236">
        <f>IF($C$4="User Defined",'Annual Distribution Costs'!$H$72*E$46,'Annual Distribution Costs'!$I$72*E$46)</f>
        <v>118.52083333333331</v>
      </c>
      <c r="F48" s="236">
        <f>IF($C$4="User Defined",'Annual Distribution Costs'!$H$72*F$46,'Annual Distribution Costs'!$I$72*F$46)</f>
        <v>237.04166666666663</v>
      </c>
      <c r="G48" s="236">
        <f>IF($C$4="User Defined",'Annual Distribution Costs'!$H$72*G$46,'Annual Distribution Costs'!$I$72*G$46)</f>
        <v>1185.2083333333333</v>
      </c>
      <c r="H48" s="236">
        <f>IF($C$4="User Defined",'Annual Distribution Costs'!$H$72*H$46,'Annual Distribution Costs'!$I$72*H$46)</f>
        <v>2370.4166666666665</v>
      </c>
      <c r="K48" s="208" t="s">
        <v>158</v>
      </c>
      <c r="L48" s="235">
        <f t="shared" ref="L48:L49" si="10">D48</f>
        <v>59.260416666666657</v>
      </c>
      <c r="M48" s="235">
        <f t="shared" si="6"/>
        <v>118.52083333333331</v>
      </c>
      <c r="N48" s="235">
        <f t="shared" si="7"/>
        <v>237.04166666666663</v>
      </c>
      <c r="O48" s="235">
        <f t="shared" si="8"/>
        <v>1185.2083333333333</v>
      </c>
      <c r="P48" s="235">
        <f t="shared" si="9"/>
        <v>2370.4166666666665</v>
      </c>
    </row>
    <row r="49" spans="2:17" ht="15.75" thickBot="1" x14ac:dyDescent="0.3">
      <c r="C49" s="208" t="s">
        <v>159</v>
      </c>
      <c r="D49" s="235">
        <f>D47+D48</f>
        <v>79.260416666666657</v>
      </c>
      <c r="E49" s="235">
        <f t="shared" ref="E49" si="11">E47+E48</f>
        <v>158.52083333333331</v>
      </c>
      <c r="F49" s="235">
        <f t="shared" ref="F49" si="12">F47+F48</f>
        <v>317.04166666666663</v>
      </c>
      <c r="G49" s="235">
        <f t="shared" ref="G49" si="13">G47+G48</f>
        <v>1425.2083333333333</v>
      </c>
      <c r="H49" s="235">
        <f t="shared" ref="H49" si="14">H47+H48</f>
        <v>2850.4166666666665</v>
      </c>
      <c r="K49" s="208" t="s">
        <v>159</v>
      </c>
      <c r="L49" s="235">
        <f t="shared" si="10"/>
        <v>79.260416666666657</v>
      </c>
      <c r="M49" s="235">
        <f t="shared" si="6"/>
        <v>158.52083333333331</v>
      </c>
      <c r="N49" s="235">
        <f t="shared" si="7"/>
        <v>317.04166666666663</v>
      </c>
      <c r="O49" s="235">
        <f t="shared" si="8"/>
        <v>1425.2083333333333</v>
      </c>
      <c r="P49" s="235">
        <f t="shared" si="9"/>
        <v>2850.4166666666665</v>
      </c>
    </row>
    <row r="50" spans="2:17" ht="14.45" customHeight="1" x14ac:dyDescent="0.25">
      <c r="B50" s="321" t="s">
        <v>172</v>
      </c>
      <c r="C50" s="237">
        <v>0.01</v>
      </c>
      <c r="D50" s="224">
        <f t="shared" ref="D50:H57" si="15">D$49/$C50</f>
        <v>7926.0416666666652</v>
      </c>
      <c r="E50" s="224">
        <f t="shared" si="15"/>
        <v>15852.08333333333</v>
      </c>
      <c r="F50" s="224">
        <f t="shared" si="15"/>
        <v>31704.166666666661</v>
      </c>
      <c r="G50" s="224">
        <f t="shared" si="15"/>
        <v>142520.83333333331</v>
      </c>
      <c r="H50" s="224">
        <f t="shared" si="15"/>
        <v>285041.66666666663</v>
      </c>
      <c r="J50" s="324" t="s">
        <v>173</v>
      </c>
      <c r="K50" s="225">
        <v>1</v>
      </c>
      <c r="L50" s="226">
        <f t="shared" ref="L50:P62" si="16">L$49/$K50</f>
        <v>79.260416666666657</v>
      </c>
      <c r="M50" s="226">
        <f t="shared" si="16"/>
        <v>158.52083333333331</v>
      </c>
      <c r="N50" s="226">
        <f t="shared" si="16"/>
        <v>317.04166666666663</v>
      </c>
      <c r="O50" s="226">
        <f t="shared" si="16"/>
        <v>1425.2083333333333</v>
      </c>
      <c r="P50" s="226">
        <f t="shared" si="16"/>
        <v>2850.4166666666665</v>
      </c>
      <c r="Q50" s="327" t="s">
        <v>174</v>
      </c>
    </row>
    <row r="51" spans="2:17" x14ac:dyDescent="0.25">
      <c r="B51" s="322"/>
      <c r="C51" s="238">
        <v>0.02</v>
      </c>
      <c r="D51" s="224">
        <f t="shared" si="15"/>
        <v>3963.0208333333326</v>
      </c>
      <c r="E51" s="224">
        <f t="shared" si="15"/>
        <v>7926.0416666666652</v>
      </c>
      <c r="F51" s="224">
        <f t="shared" si="15"/>
        <v>15852.08333333333</v>
      </c>
      <c r="G51" s="224">
        <f t="shared" si="15"/>
        <v>71260.416666666657</v>
      </c>
      <c r="H51" s="224">
        <f t="shared" si="15"/>
        <v>142520.83333333331</v>
      </c>
      <c r="J51" s="325"/>
      <c r="K51" s="228">
        <v>1.25</v>
      </c>
      <c r="L51" s="229">
        <f t="shared" si="16"/>
        <v>63.408333333333324</v>
      </c>
      <c r="M51" s="229">
        <f t="shared" si="16"/>
        <v>126.81666666666665</v>
      </c>
      <c r="N51" s="229">
        <f t="shared" si="16"/>
        <v>253.6333333333333</v>
      </c>
      <c r="O51" s="229">
        <f t="shared" si="16"/>
        <v>1140.1666666666665</v>
      </c>
      <c r="P51" s="229">
        <f t="shared" si="16"/>
        <v>2280.333333333333</v>
      </c>
      <c r="Q51" s="328"/>
    </row>
    <row r="52" spans="2:17" x14ac:dyDescent="0.25">
      <c r="B52" s="322"/>
      <c r="C52" s="238">
        <v>0.03</v>
      </c>
      <c r="D52" s="224">
        <f t="shared" si="15"/>
        <v>2642.0138888888887</v>
      </c>
      <c r="E52" s="224">
        <f t="shared" si="15"/>
        <v>5284.0277777777774</v>
      </c>
      <c r="F52" s="224">
        <f t="shared" si="15"/>
        <v>10568.055555555555</v>
      </c>
      <c r="G52" s="224">
        <f t="shared" si="15"/>
        <v>47506.944444444445</v>
      </c>
      <c r="H52" s="224">
        <f t="shared" si="15"/>
        <v>95013.888888888891</v>
      </c>
      <c r="J52" s="325"/>
      <c r="K52" s="228">
        <v>1.5</v>
      </c>
      <c r="L52" s="229">
        <f t="shared" si="16"/>
        <v>52.840277777777771</v>
      </c>
      <c r="M52" s="229">
        <f t="shared" si="16"/>
        <v>105.68055555555554</v>
      </c>
      <c r="N52" s="229">
        <f t="shared" si="16"/>
        <v>211.36111111111109</v>
      </c>
      <c r="O52" s="229">
        <f t="shared" si="16"/>
        <v>950.1388888888888</v>
      </c>
      <c r="P52" s="229">
        <f t="shared" si="16"/>
        <v>1900.2777777777776</v>
      </c>
      <c r="Q52" s="328"/>
    </row>
    <row r="53" spans="2:17" x14ac:dyDescent="0.25">
      <c r="B53" s="322"/>
      <c r="C53" s="238">
        <v>0.04</v>
      </c>
      <c r="D53" s="224">
        <f t="shared" si="15"/>
        <v>1981.5104166666663</v>
      </c>
      <c r="E53" s="224">
        <f t="shared" si="15"/>
        <v>3963.0208333333326</v>
      </c>
      <c r="F53" s="224">
        <f t="shared" si="15"/>
        <v>7926.0416666666652</v>
      </c>
      <c r="G53" s="224">
        <f t="shared" si="15"/>
        <v>35630.208333333328</v>
      </c>
      <c r="H53" s="224">
        <f t="shared" si="15"/>
        <v>71260.416666666657</v>
      </c>
      <c r="J53" s="325"/>
      <c r="K53" s="228">
        <v>1.75</v>
      </c>
      <c r="L53" s="229">
        <f t="shared" si="16"/>
        <v>45.291666666666664</v>
      </c>
      <c r="M53" s="229">
        <f t="shared" si="16"/>
        <v>90.583333333333329</v>
      </c>
      <c r="N53" s="229">
        <f t="shared" si="16"/>
        <v>181.16666666666666</v>
      </c>
      <c r="O53" s="229">
        <f t="shared" si="16"/>
        <v>814.40476190476181</v>
      </c>
      <c r="P53" s="229">
        <f t="shared" si="16"/>
        <v>1628.8095238095236</v>
      </c>
      <c r="Q53" s="328"/>
    </row>
    <row r="54" spans="2:17" x14ac:dyDescent="0.25">
      <c r="B54" s="322"/>
      <c r="C54" s="238">
        <v>0.05</v>
      </c>
      <c r="D54" s="224">
        <f t="shared" si="15"/>
        <v>1585.208333333333</v>
      </c>
      <c r="E54" s="224">
        <f t="shared" si="15"/>
        <v>3170.4166666666661</v>
      </c>
      <c r="F54" s="224">
        <f t="shared" si="15"/>
        <v>6340.8333333333321</v>
      </c>
      <c r="G54" s="224">
        <f t="shared" si="15"/>
        <v>28504.166666666664</v>
      </c>
      <c r="H54" s="224">
        <f t="shared" si="15"/>
        <v>57008.333333333328</v>
      </c>
      <c r="J54" s="325"/>
      <c r="K54" s="228">
        <v>2</v>
      </c>
      <c r="L54" s="229">
        <f t="shared" si="16"/>
        <v>39.630208333333329</v>
      </c>
      <c r="M54" s="229">
        <f t="shared" si="16"/>
        <v>79.260416666666657</v>
      </c>
      <c r="N54" s="229">
        <f t="shared" si="16"/>
        <v>158.52083333333331</v>
      </c>
      <c r="O54" s="229">
        <f t="shared" si="16"/>
        <v>712.60416666666663</v>
      </c>
      <c r="P54" s="229">
        <f t="shared" si="16"/>
        <v>1425.2083333333333</v>
      </c>
      <c r="Q54" s="328"/>
    </row>
    <row r="55" spans="2:17" x14ac:dyDescent="0.25">
      <c r="B55" s="322"/>
      <c r="C55" s="238">
        <v>0.1</v>
      </c>
      <c r="D55" s="224">
        <f t="shared" si="15"/>
        <v>792.60416666666652</v>
      </c>
      <c r="E55" s="224">
        <f t="shared" si="15"/>
        <v>1585.208333333333</v>
      </c>
      <c r="F55" s="224">
        <f t="shared" si="15"/>
        <v>3170.4166666666661</v>
      </c>
      <c r="G55" s="224">
        <f t="shared" si="15"/>
        <v>14252.083333333332</v>
      </c>
      <c r="H55" s="224">
        <f t="shared" si="15"/>
        <v>28504.166666666664</v>
      </c>
      <c r="J55" s="325"/>
      <c r="K55" s="228">
        <v>2.25</v>
      </c>
      <c r="L55" s="229">
        <f t="shared" si="16"/>
        <v>35.226851851851848</v>
      </c>
      <c r="M55" s="229">
        <f t="shared" si="16"/>
        <v>70.453703703703695</v>
      </c>
      <c r="N55" s="229">
        <f t="shared" si="16"/>
        <v>140.90740740740739</v>
      </c>
      <c r="O55" s="229">
        <f t="shared" si="16"/>
        <v>633.42592592592587</v>
      </c>
      <c r="P55" s="229">
        <f t="shared" si="16"/>
        <v>1266.8518518518517</v>
      </c>
      <c r="Q55" s="328"/>
    </row>
    <row r="56" spans="2:17" x14ac:dyDescent="0.25">
      <c r="B56" s="322"/>
      <c r="C56" s="238">
        <v>0.15</v>
      </c>
      <c r="D56" s="224">
        <f t="shared" si="15"/>
        <v>528.40277777777771</v>
      </c>
      <c r="E56" s="224">
        <f t="shared" si="15"/>
        <v>1056.8055555555554</v>
      </c>
      <c r="F56" s="224">
        <f t="shared" si="15"/>
        <v>2113.6111111111109</v>
      </c>
      <c r="G56" s="224">
        <f t="shared" si="15"/>
        <v>9501.3888888888887</v>
      </c>
      <c r="H56" s="224">
        <f t="shared" si="15"/>
        <v>19002.777777777777</v>
      </c>
      <c r="J56" s="325"/>
      <c r="K56" s="228">
        <v>2.5</v>
      </c>
      <c r="L56" s="229">
        <f t="shared" si="16"/>
        <v>31.704166666666662</v>
      </c>
      <c r="M56" s="229">
        <f t="shared" si="16"/>
        <v>63.408333333333324</v>
      </c>
      <c r="N56" s="229">
        <f t="shared" si="16"/>
        <v>126.81666666666665</v>
      </c>
      <c r="O56" s="229">
        <f t="shared" si="16"/>
        <v>570.08333333333326</v>
      </c>
      <c r="P56" s="229">
        <f t="shared" si="16"/>
        <v>1140.1666666666665</v>
      </c>
      <c r="Q56" s="328"/>
    </row>
    <row r="57" spans="2:17" ht="15.75" thickBot="1" x14ac:dyDescent="0.3">
      <c r="B57" s="323"/>
      <c r="C57" s="239">
        <v>0.25</v>
      </c>
      <c r="D57" s="224">
        <f t="shared" si="15"/>
        <v>317.04166666666663</v>
      </c>
      <c r="E57" s="224">
        <f t="shared" si="15"/>
        <v>634.08333333333326</v>
      </c>
      <c r="F57" s="224">
        <f t="shared" si="15"/>
        <v>1268.1666666666665</v>
      </c>
      <c r="G57" s="224">
        <f t="shared" si="15"/>
        <v>5700.833333333333</v>
      </c>
      <c r="H57" s="224">
        <f t="shared" si="15"/>
        <v>11401.666666666666</v>
      </c>
      <c r="J57" s="325"/>
      <c r="K57" s="228">
        <v>2.75</v>
      </c>
      <c r="L57" s="229">
        <f t="shared" si="16"/>
        <v>28.821969696969692</v>
      </c>
      <c r="M57" s="229">
        <f t="shared" si="16"/>
        <v>57.643939393939384</v>
      </c>
      <c r="N57" s="229">
        <f t="shared" si="16"/>
        <v>115.28787878787877</v>
      </c>
      <c r="O57" s="229">
        <f t="shared" si="16"/>
        <v>518.25757575757575</v>
      </c>
      <c r="P57" s="229">
        <f t="shared" si="16"/>
        <v>1036.5151515151515</v>
      </c>
      <c r="Q57" s="328"/>
    </row>
    <row r="58" spans="2:17" x14ac:dyDescent="0.25">
      <c r="J58" s="325"/>
      <c r="K58" s="228">
        <v>3</v>
      </c>
      <c r="L58" s="229">
        <f t="shared" si="16"/>
        <v>26.420138888888886</v>
      </c>
      <c r="M58" s="229">
        <f t="shared" si="16"/>
        <v>52.840277777777771</v>
      </c>
      <c r="N58" s="229">
        <f t="shared" si="16"/>
        <v>105.68055555555554</v>
      </c>
      <c r="O58" s="229">
        <f t="shared" si="16"/>
        <v>475.0694444444444</v>
      </c>
      <c r="P58" s="229">
        <f t="shared" si="16"/>
        <v>950.1388888888888</v>
      </c>
      <c r="Q58" s="328"/>
    </row>
    <row r="59" spans="2:17" x14ac:dyDescent="0.25">
      <c r="J59" s="325"/>
      <c r="K59" s="228">
        <v>3.25</v>
      </c>
      <c r="L59" s="229">
        <f t="shared" si="16"/>
        <v>24.387820512820511</v>
      </c>
      <c r="M59" s="229">
        <f t="shared" si="16"/>
        <v>48.775641025641022</v>
      </c>
      <c r="N59" s="229">
        <f t="shared" si="16"/>
        <v>97.551282051282044</v>
      </c>
      <c r="O59" s="229">
        <f t="shared" si="16"/>
        <v>438.52564102564099</v>
      </c>
      <c r="P59" s="229">
        <f t="shared" si="16"/>
        <v>877.05128205128199</v>
      </c>
      <c r="Q59" s="328"/>
    </row>
    <row r="60" spans="2:17" x14ac:dyDescent="0.25">
      <c r="J60" s="325"/>
      <c r="K60" s="228">
        <v>3.5</v>
      </c>
      <c r="L60" s="229">
        <f t="shared" si="16"/>
        <v>22.645833333333332</v>
      </c>
      <c r="M60" s="229">
        <f t="shared" si="16"/>
        <v>45.291666666666664</v>
      </c>
      <c r="N60" s="229">
        <f t="shared" si="16"/>
        <v>90.583333333333329</v>
      </c>
      <c r="O60" s="229">
        <f t="shared" si="16"/>
        <v>407.20238095238091</v>
      </c>
      <c r="P60" s="229">
        <f t="shared" si="16"/>
        <v>814.40476190476181</v>
      </c>
      <c r="Q60" s="328"/>
    </row>
    <row r="61" spans="2:17" x14ac:dyDescent="0.25">
      <c r="J61" s="325"/>
      <c r="K61" s="228">
        <v>3.75</v>
      </c>
      <c r="L61" s="229">
        <f t="shared" si="16"/>
        <v>21.136111111111109</v>
      </c>
      <c r="M61" s="229">
        <f t="shared" si="16"/>
        <v>42.272222222222219</v>
      </c>
      <c r="N61" s="229">
        <f t="shared" si="16"/>
        <v>84.544444444444437</v>
      </c>
      <c r="O61" s="229">
        <f t="shared" si="16"/>
        <v>380.05555555555554</v>
      </c>
      <c r="P61" s="229">
        <f t="shared" si="16"/>
        <v>760.11111111111109</v>
      </c>
      <c r="Q61" s="328"/>
    </row>
    <row r="62" spans="2:17" ht="15.75" thickBot="1" x14ac:dyDescent="0.3">
      <c r="J62" s="326"/>
      <c r="K62" s="232">
        <v>4</v>
      </c>
      <c r="L62" s="233">
        <f t="shared" si="16"/>
        <v>19.815104166666664</v>
      </c>
      <c r="M62" s="233">
        <f t="shared" si="16"/>
        <v>39.630208333333329</v>
      </c>
      <c r="N62" s="233">
        <f t="shared" si="16"/>
        <v>79.260416666666657</v>
      </c>
      <c r="O62" s="233">
        <f t="shared" si="16"/>
        <v>356.30208333333331</v>
      </c>
      <c r="P62" s="233">
        <f t="shared" si="16"/>
        <v>712.60416666666663</v>
      </c>
      <c r="Q62" s="329"/>
    </row>
  </sheetData>
  <sheetProtection algorithmName="SHA-512" hashValue="Xy8aaoKtxN1uCtG0dHxfM1cEi4gNGh/vPA1L/eE8A97UDZ9mdJ5Y4ByN07trkHE9JsZL5CTFHtdGGRS524KjaQ==" saltValue="mCdYRQc2+VTYlmrLtxBulQ==" spinCount="100000" sheet="1" objects="1" scenarios="1"/>
  <dataConsolidate/>
  <mergeCells count="17">
    <mergeCell ref="B29:B36"/>
    <mergeCell ref="B50:B57"/>
    <mergeCell ref="J50:J62"/>
    <mergeCell ref="Q50:Q62"/>
    <mergeCell ref="J29:J41"/>
    <mergeCell ref="K44:Q44"/>
    <mergeCell ref="Q29:Q41"/>
    <mergeCell ref="C44:H44"/>
    <mergeCell ref="K23:Q23"/>
    <mergeCell ref="B1:C1"/>
    <mergeCell ref="B2:Q2"/>
    <mergeCell ref="K10:Q12"/>
    <mergeCell ref="K14:P15"/>
    <mergeCell ref="E9:F9"/>
    <mergeCell ref="E14:F14"/>
    <mergeCell ref="C21:Q21"/>
    <mergeCell ref="C23:H23"/>
  </mergeCells>
  <conditionalFormatting sqref="L29:P41">
    <cfRule type="colorScale" priority="4">
      <colorScale>
        <cfvo type="min"/>
        <cfvo type="percentile" val="50"/>
        <cfvo type="max"/>
        <color rgb="FF63BE7B"/>
        <color rgb="FFFFEB84"/>
        <color rgb="FFF8696B"/>
      </colorScale>
    </cfRule>
  </conditionalFormatting>
  <conditionalFormatting sqref="L50:P62">
    <cfRule type="colorScale" priority="1">
      <colorScale>
        <cfvo type="min"/>
        <cfvo type="percentile" val="50"/>
        <cfvo type="max"/>
        <color rgb="FF63BE7B"/>
        <color rgb="FFFFEB84"/>
        <color rgb="FFF8696B"/>
      </colorScale>
    </cfRule>
  </conditionalFormatting>
  <conditionalFormatting sqref="D50:H57">
    <cfRule type="colorScale" priority="6">
      <colorScale>
        <cfvo type="min"/>
        <cfvo type="percentile" val="50"/>
        <cfvo type="max"/>
        <color rgb="FF63BE7B"/>
        <color rgb="FFFFEB84"/>
        <color rgb="FFF8696B"/>
      </colorScale>
    </cfRule>
  </conditionalFormatting>
  <conditionalFormatting sqref="D29:H36">
    <cfRule type="colorScale" priority="7">
      <colorScale>
        <cfvo type="min"/>
        <cfvo type="percentile" val="50"/>
        <cfvo type="max"/>
        <color rgb="FF63BE7B"/>
        <color rgb="FFFFEB84"/>
        <color rgb="FFF8696B"/>
      </colorScale>
    </cfRule>
  </conditionalFormatting>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
  <sheetViews>
    <sheetView workbookViewId="0">
      <selection activeCell="J5" sqref="J5"/>
    </sheetView>
  </sheetViews>
  <sheetFormatPr defaultRowHeight="15" x14ac:dyDescent="0.25"/>
  <sheetData>
    <row r="2" spans="1:10" x14ac:dyDescent="0.25">
      <c r="A2" s="1" t="s">
        <v>176</v>
      </c>
      <c r="E2" s="1" t="s">
        <v>177</v>
      </c>
    </row>
    <row r="3" spans="1:10" x14ac:dyDescent="0.25">
      <c r="A3" s="3" t="s">
        <v>178</v>
      </c>
      <c r="E3" t="s">
        <v>179</v>
      </c>
      <c r="H3" t="s">
        <v>99</v>
      </c>
      <c r="J3" t="s">
        <v>180</v>
      </c>
    </row>
    <row r="4" spans="1:10" x14ac:dyDescent="0.25">
      <c r="A4" t="s">
        <v>87</v>
      </c>
      <c r="E4" t="s">
        <v>89</v>
      </c>
      <c r="H4" t="s">
        <v>101</v>
      </c>
      <c r="J4" t="s">
        <v>101</v>
      </c>
    </row>
    <row r="5" spans="1:10" x14ac:dyDescent="0.25">
      <c r="A5" t="s">
        <v>181</v>
      </c>
      <c r="E5"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Annual Distribution Costs</vt:lpstr>
      <vt:lpstr>Trip Based Costs</vt:lpstr>
      <vt:lpstr>DefineNames</vt:lpstr>
      <vt:lpstr>Instructions!Print_Area</vt:lpstr>
      <vt:lpstr>'Trip Based Costs'!Print_Area</vt:lpstr>
      <vt:lpstr>TruckCostInputData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Jem Locquiao</dc:creator>
  <cp:lastModifiedBy>Ellen Kahler</cp:lastModifiedBy>
  <cp:revision/>
  <dcterms:created xsi:type="dcterms:W3CDTF">2017-08-07T01:58:04Z</dcterms:created>
  <dcterms:modified xsi:type="dcterms:W3CDTF">2020-02-04T01:27:12Z</dcterms:modified>
</cp:coreProperties>
</file>